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C:\Users\AndreaF\Desktop\"/>
    </mc:Choice>
  </mc:AlternateContent>
  <xr:revisionPtr revIDLastSave="0" documentId="13_ncr:1_{88969FFE-742D-493B-8A29-1EB919F20C6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8" i="5"/>
  <c r="R18" i="5"/>
  <c r="X18" i="5"/>
  <c r="H34" i="5"/>
  <c r="X34" i="5"/>
  <c r="R34" i="5"/>
  <c r="J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26" i="5"/>
  <c r="X26" i="5"/>
  <c r="R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H2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J30" i="5"/>
  <c r="X30" i="5"/>
  <c r="I30" i="5"/>
  <c r="F30" i="5"/>
  <c r="F112" i="5"/>
  <c r="X112" i="5"/>
  <c r="R112" i="5"/>
  <c r="H154" i="5"/>
  <c r="R154" i="5"/>
  <c r="J154" i="5"/>
  <c r="I154" i="5"/>
  <c r="X154" i="5"/>
  <c r="F154" i="5"/>
  <c r="H202" i="5"/>
  <c r="R202" i="5"/>
  <c r="J202" i="5"/>
  <c r="I202" i="5"/>
  <c r="X202" i="5"/>
  <c r="F202" i="5"/>
  <c r="R248" i="5"/>
  <c r="F248" i="5"/>
  <c r="J2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AB25" i="5"/>
  <c r="X38" i="5"/>
  <c r="I45" i="5"/>
  <c r="AB21" i="5"/>
  <c r="F22" i="5"/>
  <c r="I23" i="5"/>
  <c r="R24"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2"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H6"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I6" i="5"/>
  <c r="F17" i="5"/>
  <c r="AB20" i="5"/>
  <c r="F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F27" i="5"/>
  <c r="H19" i="5"/>
  <c r="H113" i="5"/>
  <c r="F117" i="5"/>
  <c r="R117" i="5"/>
  <c r="J117" i="5"/>
  <c r="X5" i="5"/>
  <c r="I19"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8" i="5"/>
  <c r="AB26" i="5"/>
  <c r="X28" i="5"/>
  <c r="F5" i="5"/>
  <c r="H17" i="5"/>
  <c r="F20" i="5"/>
  <c r="X23" i="5"/>
  <c r="H25"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F19" i="5"/>
  <c r="AB30" i="5"/>
  <c r="F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6"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I5" i="5"/>
  <c r="R17" i="5"/>
  <c r="F18" i="5"/>
  <c r="I20" i="5"/>
  <c r="R22" i="5"/>
  <c r="H23" i="5"/>
  <c r="R25" i="5"/>
  <c r="F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80" i="5"/>
  <c r="S40" i="5"/>
  <c r="S234" i="5"/>
  <c r="S270" i="5"/>
  <c r="S290" i="5"/>
  <c r="S395" i="5"/>
  <c r="S399" i="5"/>
  <c r="S404" i="5"/>
  <c r="S412" i="5"/>
  <c r="S452" i="5"/>
  <c r="S419" i="5"/>
  <c r="S447" i="5"/>
  <c r="S209" i="5"/>
  <c r="S72" i="5"/>
  <c r="S3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1" i="5"/>
  <c r="AB8" i="5"/>
  <c r="AB9" i="5"/>
  <c r="AB13" i="5"/>
  <c r="AB16" i="5"/>
  <c r="AB15" i="5"/>
  <c r="AB12" i="5"/>
  <c r="AB14" i="5"/>
  <c r="AB10"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5" i="5"/>
  <c r="I15" i="5"/>
  <c r="H15" i="5"/>
  <c r="F15" i="5"/>
  <c r="I9" i="5"/>
  <c r="F9" i="5"/>
  <c r="R9" i="5"/>
  <c r="H9" i="5"/>
  <c r="H12" i="5"/>
  <c r="R12" i="5"/>
  <c r="I12" i="5"/>
  <c r="F12" i="5"/>
  <c r="H7" i="5"/>
  <c r="R7" i="5"/>
  <c r="F7" i="5"/>
  <c r="I7" i="5"/>
  <c r="H16" i="5"/>
  <c r="I16" i="5"/>
  <c r="R16" i="5"/>
  <c r="F16" i="5"/>
  <c r="G66" i="6"/>
  <c r="H66" i="6"/>
  <c r="C66" i="6"/>
  <c r="G67" i="6"/>
  <c r="H67" i="6"/>
  <c r="D67" i="6"/>
  <c r="G65" i="6"/>
  <c r="H65" i="6"/>
  <c r="C65" i="6"/>
  <c r="I11" i="5"/>
  <c r="R11" i="5"/>
  <c r="F11" i="5"/>
  <c r="H11" i="5"/>
  <c r="H8" i="5"/>
  <c r="I8" i="5"/>
  <c r="R8" i="5"/>
  <c r="F8" i="5"/>
  <c r="H14" i="5"/>
  <c r="I14" i="5"/>
  <c r="F14" i="5"/>
  <c r="R14" i="5"/>
  <c r="H10" i="5"/>
  <c r="R10" i="5"/>
  <c r="F10" i="5"/>
  <c r="I10" i="5"/>
  <c r="I13" i="5"/>
  <c r="R13" i="5"/>
  <c r="H13" i="5"/>
  <c r="F13" i="5"/>
  <c r="C49" i="6"/>
  <c r="C47" i="6"/>
  <c r="C60" i="6"/>
  <c r="D60" i="6"/>
  <c r="D58" i="6"/>
  <c r="C58" i="6"/>
  <c r="D63" i="6"/>
  <c r="C63" i="6"/>
  <c r="C62" i="6"/>
  <c r="D62" i="6"/>
  <c r="C54" i="6"/>
  <c r="D54" i="6"/>
  <c r="D57" i="6"/>
  <c r="C57" i="6"/>
  <c r="F56" i="6"/>
  <c r="H56" i="6"/>
  <c r="H55" i="6"/>
  <c r="D59" i="6"/>
  <c r="C59" i="6"/>
  <c r="C68" i="6"/>
  <c r="X12" i="5"/>
  <c r="X9" i="5"/>
  <c r="D65" i="6"/>
  <c r="X8" i="5"/>
  <c r="X11" i="5"/>
  <c r="X13" i="5"/>
  <c r="X16" i="5"/>
  <c r="D66" i="6"/>
  <c r="C67" i="6"/>
  <c r="X10" i="5"/>
  <c r="X14" i="5"/>
  <c r="X7" i="5"/>
  <c r="H69" i="6"/>
  <c r="H70" i="6"/>
  <c r="D2" i="6"/>
  <c r="X15"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<sst xmlns="http://schemas.openxmlformats.org/spreadsheetml/2006/main" count="22517" uniqueCount="15866">
  <si>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</si>
  <si>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</si>
  <si>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</si>
  <si>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</si>
  <si>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</si>
  <si>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</si>
  <si>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</si>
  <si>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</si>
  <si>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</si>
  <si>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</si>
  <si>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</si>
  <si>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</si>
  <si>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</si>
  <si>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</si>
  <si>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</si>
  <si>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</si>
  <si>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</si>
  <si>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</si>
  <si>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</si>
  <si>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</si>
  <si>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</si>
  <si>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</si>
  <si>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</si>
  <si>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</si>
  <si>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</si>
  <si>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</si>
  <si>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</si>
  <si>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</si>
  <si>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</si>
  <si>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</si>
  <si>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</si>
  <si>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</si>
  <si>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</si>
  <si>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</si>
  <si>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</si>
  <si>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</si>
  <si>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</si>
  <si>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</si>
  <si>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</si>
  <si>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</si>
  <si>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</si>
  <si>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</si>
  <si>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</si>
  <si>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</si>
  <si>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</si>
  <si>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</si>
  <si>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</si>
  <si>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</si>
  <si>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</si>
  <si>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</si>
  <si>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</si>
  <si>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</si>
  <si>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</si>
  <si>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</si>
  <si>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</si>
  <si>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</si>
  <si>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</si>
  <si>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</si>
  <si>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</si>
  <si>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</si>
  <si>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</si>
  <si>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</si>
  <si>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</si>
  <si>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</si>
  <si>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</si>
  <si>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</si>
  <si>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</si>
  <si>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</si>
  <si>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</si>
  <si>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</si>
  <si>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</si>
  <si>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</si>
  <si>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</si>
  <si>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</si>
  <si>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</si>
  <si>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</si>
  <si>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</si>
  <si>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</si>
  <si>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</si>
  <si>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</si>
  <si>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</si>
  <si>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</si>
  <si>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</si>
  <si>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</si>
  <si>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</si>
  <si>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</si>
  <si>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</si>
  <si>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</si>
  <si>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</si>
  <si>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</si>
  <si>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</si>
  <si>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</si>
  <si>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</si>
  <si>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</si>
  <si>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</si>
  <si>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</si>
  <si>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</si>
  <si>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</si>
  <si>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</si>
  <si>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</si>
  <si>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</si>
  <si>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</si>
  <si>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</si>
  <si>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</si>
  <si>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</si>
  <si>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</si>
  <si>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</si>
  <si>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</si>
  <si>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</si>
  <si>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</si>
  <si>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</si>
  <si>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</si>
  <si>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</si>
  <si>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</si>
  <si>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</si>
  <si>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</si>
  <si>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</si>
  <si>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</si>
  <si>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</si>
  <si>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</si>
  <si>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</si>
  <si>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</si>
  <si>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</si>
  <si>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</si>
  <si>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</si>
  <si>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</si>
  <si>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</si>
  <si>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</si>
  <si>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</si>
  <si>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</si>
  <si>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</si>
  <si>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</si>
  <si>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</si>
  <si>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</si>
  <si>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</si>
  <si>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</si>
  <si>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</si>
  <si>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</si>
  <si>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</si>
  <si>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</si>
  <si>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</si>
  <si>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</si>
  <si>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</si>
  <si>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</si>
  <si>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</si>
  <si>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</si>
  <si>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</si>
  <si>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</si>
  <si>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</si>
  <si>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</si>
  <si>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</si>
  <si>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</si>
  <si>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</si>
  <si>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</si>
  <si>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</si>
  <si>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</si>
  <si>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</si>
  <si>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</si>
  <si>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</si>
  <si>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</si>
  <si>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</si>
  <si>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</si>
  <si>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</si>
  <si>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</si>
  <si>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</si>
  <si>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</si>
  <si>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</si>
  <si>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</si>
  <si>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</si>
  <si>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</si>
  <si>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</si>
  <si>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</si>
  <si>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</si>
  <si>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</si>
  <si>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</si>
  <si>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</si>
  <si>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</si>
  <si>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</si>
  <si>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</si>
  <si>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</si>
  <si>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</si>
  <si>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</si>
  <si>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</si>
  <si>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</si>
  <si>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</si>
  <si>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</si>
  <si>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</si>
  <si>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</si>
  <si>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</si>
  <si>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</si>
  <si>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</si>
  <si>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</si>
  <si>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</si>
  <si>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</si>
  <si>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</si>
  <si>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</si>
  <si>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</si>
  <si>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</si>
  <si>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</si>
  <si>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</si>
  <si>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</si>
  <si>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</si>
  <si>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</si>
  <si>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</si>
  <si>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</si>
  <si>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</si>
  <si>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</si>
  <si>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</si>
  <si>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</si>
  <si>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</si>
  <si>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</si>
  <si>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</si>
  <si>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</si>
  <si>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</si>
  <si>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</si>
  <si>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</si>
  <si>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</si>
  <si>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</si>
  <si>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</si>
  <si>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</si>
  <si>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</si>
  <si>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</si>
  <si>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</si>
  <si>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</si>
  <si>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</si>
  <si>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</si>
  <si>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</si>
  <si>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</si>
  <si>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</si>
  <si>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</si>
  <si>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</si>
  <si>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</si>
  <si>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</si>
  <si>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</si>
  <si>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</si>
  <si>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</si>
  <si>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</si>
  <si>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</si>
  <si>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</si>
  <si>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</si>
  <si>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</si>
  <si>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</si>
  <si>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</si>
  <si>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</si>
  <si>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</si>
  <si>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</si>
  <si>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</si>
  <si>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</si>
  <si>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</si>
  <si>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</si>
  <si>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</si>
  <si>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</si>
  <si>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</si>
  <si>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</si>
  <si>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</si>
  <si>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</si>
  <si>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</si>
  <si>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</si>
  <si>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</si>
  <si>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</si>
  <si>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</si>
  <si>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</si>
  <si>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</si>
  <si>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</si>
  <si>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</si>
  <si>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</si>
  <si>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</si>
  <si>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</si>
  <si>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</si>
  <si>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</si>
  <si>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</si>
  <si>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</si>
  <si>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</si>
  <si>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</si>
  <si>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</si>
  <si>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</si>
  <si>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</si>
  <si>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</si>
  <si>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</si>
  <si>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</si>
  <si>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</si>
  <si>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</si>
  <si>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</si>
  <si>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</si>
  <si>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</si>
  <si>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</si>
  <si>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</si>
  <si>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</si>
  <si>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</si>
  <si>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</si>
  <si>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</si>
  <si>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</si>
  <si>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</si>
  <si>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</si>
  <si>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</si>
  <si>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</si>
  <si>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</si>
  <si>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</si>
  <si>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</si>
  <si>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</si>
  <si>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</si>
  <si>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</si>
  <si>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</si>
  <si>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</si>
  <si>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</si>
  <si>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</si>
  <si>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</si>
  <si>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</si>
  <si>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</si>
  <si>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</si>
  <si>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</si>
  <si>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</si>
  <si>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</si>
  <si>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</si>
  <si>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</si>
  <si>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</si>
  <si>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</si>
  <si>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</si>
  <si>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</si>
  <si>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</si>
  <si>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</si>
  <si>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</si>
  <si>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</si>
  <si>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</si>
  <si>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</si>
  <si>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</si>
  <si>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</si>
  <si>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</si>
  <si>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</si>
  <si>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</si>
  <si>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</si>
  <si>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</si>
  <si>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</si>
  <si>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</si>
  <si>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</si>
  <si>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</si>
  <si>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</si>
  <si>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</si>
  <si>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</si>
  <si>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</si>
  <si>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</si>
  <si>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</si>
  <si>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</si>
  <si>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</si>
  <si>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</si>
  <si>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</si>
  <si>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</si>
  <si>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</si>
  <si>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</si>
  <si>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</si>
  <si>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</si>
  <si>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</si>
  <si>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</si>
  <si>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</si>
  <si>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</si>
  <si>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</si>
  <si>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</si>
  <si>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</si>
  <si>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</si>
  <si>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</si>
  <si>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</si>
  <si>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</si>
  <si>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</si>
  <si>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</si>
  <si>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</si>
  <si>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</si>
  <si>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</si>
  <si>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</si>
  <si>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</si>
  <si>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</si>
  <si>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</si>
  <si>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</si>
  <si>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</si>
  <si>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</si>
  <si>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</si>
  <si>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</si>
  <si>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</si>
  <si>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</si>
  <si>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</si>
  <si>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</si>
  <si>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</si>
  <si>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</si>
  <si>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</si>
  <si>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</si>
  <si>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</si>
  <si>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</si>
  <si>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</si>
  <si>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</si>
  <si>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</si>
  <si>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</si>
  <si>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</si>
  <si>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</si>
  <si>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</si>
  <si>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</si>
  <si>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</si>
  <si>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</si>
  <si>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</si>
  <si>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</si>
  <si>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</si>
  <si>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</si>
  <si>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</si>
  <si>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</si>
  <si>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</si>
  <si>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</si>
  <si>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</si>
  <si>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</si>
  <si>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</si>
  <si>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</si>
  <si>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</si>
  <si>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</si>
  <si>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</si>
  <si>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</si>
  <si>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</si>
  <si>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</si>
  <si>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</si>
  <si>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</si>
  <si>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</si>
  <si>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</si>
  <si>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</si>
  <si>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</si>
  <si>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</si>
  <si>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</si>
  <si>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</si>
  <si>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</si>
  <si>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</si>
  <si>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</si>
  <si>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</si>
  <si>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</si>
  <si>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</si>
  <si>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</si>
  <si>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</si>
  <si>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</si>
  <si>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</si>
  <si>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</si>
  <si>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</si>
  <si>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</si>
  <si>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</si>
  <si>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</si>
  <si>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</si>
  <si>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</si>
  <si>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</si>
  <si>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</si>
  <si>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</si>
  <si>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</si>
  <si>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</si>
  <si>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</si>
  <si>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</si>
  <si>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</si>
  <si>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</si>
  <si>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</si>
  <si>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</si>
  <si>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</si>
  <si>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</si>
  <si>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</si>
  <si>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</si>
  <si>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</si>
  <si>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</si>
  <si>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</si>
  <si>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</si>
  <si>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</si>
  <si>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</si>
  <si>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</si>
  <si>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</si>
  <si>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</si>
  <si>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</si>
  <si>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</si>
  <si>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</si>
  <si>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</si>
  <si>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</si>
  <si>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</si>
  <si>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</si>
  <si>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</si>
  <si>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</si>
  <si>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</si>
  <si>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</si>
  <si>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</si>
  <si>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</si>
  <si>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</si>
  <si>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</si>
  <si>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</si>
  <si>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</si>
  <si>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</si>
  <si>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</si>
  <si>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</si>
  <si>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</si>
  <si>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</si>
  <si>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</si>
  <si>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</si>
  <si>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</si>
  <si>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</si>
  <si>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</si>
  <si>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</si>
  <si>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</si>
  <si>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</si>
  <si>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</si>
  <si>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</si>
  <si>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</si>
  <si>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</si>
  <si>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</si>
  <si>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</si>
  <si>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</si>
  <si>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</si>
  <si>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</si>
  <si>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</si>
  <si>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</si>
  <si>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</si>
  <si>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</si>
  <si>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</si>
  <si>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</si>
  <si>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</si>
  <si>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</si>
  <si>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</si>
  <si>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</si>
  <si>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</si>
  <si>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</si>
  <si>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</si>
  <si>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</si>
  <si>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</si>
  <si>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</si>
  <si>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</si>
  <si>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</si>
  <si>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</si>
  <si>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</si>
  <si>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</si>
  <si>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</si>
  <si>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</si>
  <si>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</si>
  <si>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</si>
  <si>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</si>
  <si>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</si>
  <si>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</si>
  <si>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</si>
  <si>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</si>
  <si>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</si>
  <si>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</si>
  <si>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</si>
  <si>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</si>
  <si>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</si>
  <si>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</si>
  <si>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</si>
  <si>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</si>
  <si>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</si>
  <si>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</si>
  <si>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</si>
  <si>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</si>
  <si>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</si>
  <si>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</si>
  <si>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</si>
  <si>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</si>
  <si>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</si>
  <si>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</si>
  <si>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</si>
  <si>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</si>
  <si>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</si>
  <si>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</si>
  <si>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</si>
  <si>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</si>
  <si>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</si>
  <si>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</si>
  <si>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</si>
  <si>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</si>
  <si>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</si>
  <si>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</si>
  <si>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</si>
  <si>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</si>
  <si>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</si>
  <si>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</si>
  <si>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</si>
  <si>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</si>
  <si>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</si>
  <si>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</si>
  <si>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</si>
  <si>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</si>
  <si>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</si>
  <si>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</si>
  <si>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</si>
  <si>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</si>
  <si>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</si>
  <si>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</si>
  <si>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</si>
  <si>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</si>
  <si>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</si>
  <si>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</si>
  <si>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</si>
  <si>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</si>
  <si>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</si>
  <si>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</si>
  <si>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</si>
  <si>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</si>
  <si>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</si>
  <si>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</si>
  <si>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</si>
  <si>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</si>
  <si>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</si>
  <si>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</si>
  <si>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</si>
  <si>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</si>
  <si>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</si>
  <si>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</si>
  <si>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</si>
  <si>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</si>
  <si>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</si>
  <si>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</si>
  <si>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</si>
  <si>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</si>
  <si>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</si>
  <si>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</si>
  <si>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</si>
  <si>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</si>
  <si>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</si>
  <si>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</si>
  <si>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</si>
  <si>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</si>
  <si>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</si>
  <si>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</si>
  <si>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</si>
  <si>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</si>
  <si>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</si>
  <si>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</si>
  <si>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</si>
  <si>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</si>
  <si>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</si>
  <si>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</si>
  <si>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</si>
  <si>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</si>
  <si>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</si>
  <si>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</si>
  <si>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</si>
  <si>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</si>
  <si>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</si>
  <si>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</si>
  <si>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</si>
  <si>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</si>
  <si>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</si>
  <si>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</si>
  <si>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</si>
  <si>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</si>
  <si>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</si>
  <si>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</si>
  <si>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</si>
  <si>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</si>
  <si>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</si>
  <si>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</si>
  <si>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</si>
  <si>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</si>
  <si>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</si>
  <si>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</si>
  <si>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</si>
  <si>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</si>
  <si>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</si>
  <si>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</si>
  <si>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</si>
  <si>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</si>
  <si>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</si>
  <si>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</si>
  <si>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</si>
  <si>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</si>
  <si>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</si>
  <si>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</si>
  <si>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</si>
  <si>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</si>
  <si>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</si>
  <si>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</si>
  <si>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</si>
  <si>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</si>
  <si>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</si>
  <si>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</si>
  <si>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</si>
  <si>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</si>
  <si>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</si>
  <si>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</si>
  <si>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</si>
  <si>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</si>
  <si>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</si>
  <si>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</si>
  <si>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</si>
  <si>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</si>
  <si>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</si>
  <si>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</si>
  <si>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</si>
  <si>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</si>
  <si>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</si>
  <si>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</si>
  <si>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</si>
  <si>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</si>
  <si>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</si>
  <si>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</si>
  <si>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</si>
  <si>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</si>
  <si>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</si>
  <si>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</si>
  <si>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</si>
  <si>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</si>
  <si>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</si>
  <si>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</si>
  <si>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</si>
  <si>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</si>
  <si>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</si>
  <si>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</si>
  <si>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</si>
  <si>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</si>
  <si>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</si>
  <si>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</si>
  <si>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</si>
  <si>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</si>
  <si>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</si>
  <si>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</si>
  <si>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</si>
  <si>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</si>
  <si>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</si>
  <si>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</si>
  <si>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</si>
  <si>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</si>
  <si>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</si>
  <si>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</si>
  <si>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</si>
  <si>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</si>
  <si>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</si>
  <si>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</si>
  <si>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</si>
  <si>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</si>
  <si>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</si>
  <si>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</si>
  <si>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</si>
  <si>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</si>
  <si>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</si>
  <si>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</si>
  <si>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</si>
  <si>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</si>
  <si>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</si>
  <si>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</si>
  <si>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</si>
  <si>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</si>
  <si>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</si>
  <si>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</si>
  <si>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</si>
  <si>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</si>
  <si>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</si>
  <si>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</si>
  <si>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</si>
  <si>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</si>
  <si>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</si>
  <si>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</si>
  <si>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</si>
  <si>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</si>
  <si>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</si>
  <si>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</si>
  <si>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</si>
  <si>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</si>
  <si>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</si>
  <si>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</si>
  <si>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</si>
  <si>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</si>
  <si>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</si>
  <si>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</si>
  <si>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</si>
  <si>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</si>
  <si>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</si>
  <si>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</si>
  <si>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</si>
  <si>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</si>
  <si>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</si>
  <si>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</si>
  <si>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</si>
  <si>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</si>
  <si>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</si>
  <si>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</si>
  <si>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</si>
  <si>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</si>
  <si>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</si>
  <si>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</si>
  <si>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</si>
  <si>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</si>
  <si>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</si>
  <si>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</si>
  <si>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</si>
  <si>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</si>
  <si>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</si>
  <si>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</si>
  <si>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</si>
  <si>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</si>
  <si>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</si>
  <si>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</si>
  <si>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</si>
  <si>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</si>
  <si>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</si>
  <si>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</si>
  <si>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</si>
  <si>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</si>
  <si>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</si>
  <si>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</si>
  <si>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</si>
  <si>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</si>
  <si>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</si>
  <si>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</si>
  <si>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</si>
  <si>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</si>
  <si>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</si>
  <si>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</si>
  <si>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</si>
  <si>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</si>
  <si>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</si>
  <si>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</si>
  <si>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</si>
  <si>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</si>
  <si>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</si>
  <si>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</si>
  <si>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</si>
  <si>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</si>
  <si>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</si>
  <si>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</si>
  <si>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</si>
  <si>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</si>
  <si>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</si>
  <si>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</si>
  <si>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</si>
  <si>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</si>
  <si>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</si>
  <si>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</si>
  <si>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</si>
  <si>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</si>
  <si>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</si>
  <si>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</si>
  <si>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</si>
  <si>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</si>
  <si>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</si>
  <si>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</si>
  <si>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</si>
  <si>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</si>
  <si>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</si>
  <si>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</si>
  <si>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</si>
  <si>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</si>
  <si>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</si>
  <si>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</si>
  <si>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</si>
  <si>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</si>
  <si>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</si>
  <si>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</si>
  <si>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</si>
  <si>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</si>
  <si>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</si>
  <si>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</si>
  <si>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</si>
  <si>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</si>
  <si>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</si>
  <si>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</si>
  <si>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</si>
  <si>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</si>
  <si>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</si>
  <si>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</si>
  <si>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</si>
  <si>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</si>
  <si>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</si>
  <si>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</si>
  <si>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</si>
  <si>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</si>
  <si>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</si>
  <si>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</si>
  <si>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</si>
  <si>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</si>
  <si>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</si>
  <si>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</si>
  <si>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</si>
  <si>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</si>
  <si>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</si>
  <si>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</si>
  <si>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</si>
  <si>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</si>
  <si>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</si>
  <si>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</si>
  <si>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</si>
  <si>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</si>
  <si>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</si>
  <si>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</si>
  <si>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</si>
  <si>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</si>
  <si>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</si>
  <si>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</si>
  <si>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</si>
  <si>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</si>
  <si>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</si>
  <si>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</si>
  <si>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</si>
  <si>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</si>
  <si>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</si>
  <si>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</si>
  <si>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</si>
  <si>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</si>
  <si>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</si>
  <si>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</si>
  <si>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</si>
  <si>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</si>
  <si>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</si>
  <si>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</si>
  <si>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</si>
  <si>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</si>
  <si>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</si>
  <si>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</si>
  <si>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</si>
  <si>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</si>
  <si>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</si>
  <si>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</si>
  <si>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</si>
  <si>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</si>
  <si>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</si>
  <si>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</si>
  <si>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</si>
  <si>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</si>
  <si>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</si>
  <si>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</si>
  <si>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</si>
  <si>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</si>
  <si>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</si>
  <si>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</si>
  <si>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</si>
  <si>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</si>
  <si>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</si>
  <si>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</si>
  <si>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</si>
  <si>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</si>
  <si>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</si>
  <si>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</si>
  <si>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</si>
  <si>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</si>
  <si>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</si>
  <si>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</si>
  <si>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</si>
  <si>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</si>
  <si>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</si>
  <si>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</si>
  <si>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</si>
  <si>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</si>
  <si>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</si>
  <si>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</si>
  <si>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</si>
  <si>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</si>
  <si>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</si>
  <si>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</si>
  <si>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</si>
  <si>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</si>
  <si>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</si>
  <si>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</si>
  <si>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</si>
  <si>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</si>
  <si>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</si>
  <si>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</si>
  <si>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</si>
  <si>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</si>
  <si>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</si>
  <si>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</si>
  <si>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</si>
  <si>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</si>
  <si>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</si>
  <si>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</si>
  <si>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</si>
  <si>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</si>
  <si>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</si>
  <si>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</si>
  <si>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</si>
  <si>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</si>
  <si>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</si>
  <si>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</si>
  <si>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</si>
  <si>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</si>
  <si>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</si>
  <si>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</si>
  <si>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</si>
  <si>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</si>
  <si>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</si>
  <si>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</si>
  <si>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</si>
  <si>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</si>
  <si>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</si>
  <si>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</si>
  <si>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</si>
  <si>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</si>
  <si>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</si>
  <si>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</si>
  <si>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</si>
  <si>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</si>
  <si>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</si>
  <si>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</si>
  <si>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</si>
  <si>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</si>
  <si>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</si>
  <si>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</si>
  <si>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</si>
  <si>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</si>
  <si>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</si>
  <si>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</si>
  <si>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</si>
  <si>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</si>
  <si>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</si>
  <si>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</si>
  <si>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</si>
  <si>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</si>
  <si>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</si>
  <si>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</si>
  <si>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</si>
  <si>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</si>
  <si>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</si>
  <si>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</si>
  <si>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</si>
  <si>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</si>
  <si>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</si>
  <si>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</si>
  <si>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</si>
  <si>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</si>
  <si>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</si>
  <si>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</si>
  <si>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</si>
  <si>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</si>
  <si>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</si>
  <si>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</si>
  <si>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</si>
  <si>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</si>
  <si>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</si>
  <si>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</si>
  <si>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</si>
  <si>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</si>
  <si>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</si>
  <si>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</si>
  <si>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</si>
  <si>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</si>
  <si>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</si>
  <si>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</si>
  <si>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</si>
  <si>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</si>
  <si>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</si>
  <si>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</si>
  <si>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</si>
  <si>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</si>
  <si>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</si>
  <si>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</si>
  <si>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</si>
  <si>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</si>
  <si>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</si>
  <si>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</si>
  <si>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</si>
  <si>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</si>
  <si>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</si>
  <si>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</si>
  <si>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</si>
  <si>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</si>
  <si>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</si>
  <si>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</si>
  <si>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</si>
  <si>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</si>
  <si>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</si>
  <si>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</si>
  <si>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</si>
  <si>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</si>
  <si>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</si>
  <si>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</si>
  <si>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</si>
  <si>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</si>
  <si>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</si>
  <si>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</si>
  <si>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</si>
  <si>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</si>
  <si>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</si>
  <si>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</si>
  <si>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</si>
  <si>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</si>
  <si>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</si>
  <si>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</si>
  <si>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</si>
  <si>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</si>
  <si>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</si>
  <si>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</si>
  <si>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</si>
  <si>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</si>
  <si>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</si>
  <si>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</si>
  <si>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</si>
  <si>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</si>
  <si>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</si>
  <si>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</si>
  <si>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</si>
  <si>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</si>
  <si>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</si>
  <si>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</si>
  <si>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</si>
  <si>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</si>
  <si>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</si>
  <si>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</si>
  <si>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</si>
  <si>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</si>
  <si>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</si>
  <si>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</si>
  <si>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</si>
  <si>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</si>
  <si>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</si>
  <si>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</si>
  <si>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</si>
  <si>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</si>
  <si>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</si>
  <si>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</si>
  <si>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</si>
  <si>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</si>
  <si>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</si>
  <si>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</si>
  <si>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</si>
  <si>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</si>
  <si>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</si>
  <si>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</si>
  <si>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</si>
  <si>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</si>
  <si>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</si>
  <si>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</si>
  <si>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</si>
  <si>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</si>
  <si>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</si>
  <si>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</si>
  <si>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</si>
  <si>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</si>
  <si>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</si>
  <si>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</si>
  <si>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</si>
  <si>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</si>
  <si>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</si>
  <si>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</si>
  <si>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</si>
  <si>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</si>
  <si>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</si>
  <si>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</si>
  <si>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</si>
  <si>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</si>
  <si>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</si>
  <si>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</si>
  <si>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</si>
  <si>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</si>
  <si>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</si>
  <si>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</si>
  <si>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</si>
  <si>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</si>
  <si>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</si>
  <si>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</si>
  <si>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</si>
  <si>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</si>
  <si>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</si>
  <si>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</si>
  <si>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</si>
  <si>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</si>
  <si>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</si>
  <si>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</si>
  <si>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</si>
  <si>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</si>
  <si>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</si>
  <si>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</si>
  <si>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</si>
  <si>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</si>
  <si>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</si>
  <si>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</si>
  <si>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</si>
  <si>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</si>
  <si>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</si>
  <si>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</si>
  <si>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</si>
  <si>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</si>
  <si>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</si>
  <si>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</si>
  <si>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</si>
  <si>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</si>
  <si>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</si>
  <si>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</si>
  <si>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</si>
  <si>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</si>
  <si>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</si>
  <si>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</si>
  <si>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</si>
  <si>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</si>
  <si>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</si>
  <si>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</si>
  <si>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</si>
  <si>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</si>
  <si>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</si>
  <si>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</si>
  <si>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</si>
  <si>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</si>
  <si>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</si>
  <si>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</si>
  <si>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</si>
  <si>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</si>
  <si>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</si>
  <si>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</si>
  <si>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</si>
  <si>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</si>
  <si>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</si>
  <si>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</si>
  <si>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</si>
  <si>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</si>
  <si>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</si>
  <si>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</si>
  <si>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</si>
  <si>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</si>
  <si>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</si>
  <si>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</si>
  <si>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</si>
  <si>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</si>
  <si>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</si>
  <si>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</si>
  <si>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</si>
  <si>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</si>
  <si>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</si>
  <si>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</si>
  <si>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</si>
  <si>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</si>
  <si>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</si>
  <si>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</si>
  <si>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</si>
  <si>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</si>
  <si>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</si>
  <si>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</si>
  <si>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</si>
  <si>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</si>
  <si>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</si>
  <si>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</si>
  <si>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</si>
  <si>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</si>
  <si>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</si>
  <si>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</si>
  <si>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</si>
  <si>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</si>
  <si>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</si>
  <si>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</si>
  <si>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</si>
  <si>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</si>
  <si>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</si>
  <si>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</si>
  <si>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</si>
  <si>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</si>
  <si>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</si>
  <si>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</si>
  <si>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</si>
  <si>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</si>
  <si>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</si>
  <si>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</si>
  <si>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</si>
  <si>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</si>
  <si>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</si>
  <si>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</si>
  <si>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</si>
  <si>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</si>
  <si>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</si>
  <si>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</si>
  <si>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</si>
  <si>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</si>
  <si>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</si>
  <si>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</si>
  <si>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</si>
  <si>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</si>
  <si>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</si>
  <si>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</si>
  <si>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</si>
  <si>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</si>
  <si>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</si>
  <si>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</si>
  <si>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</si>
  <si>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</si>
  <si>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</si>
  <si>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</si>
  <si>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</si>
  <si>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</si>
  <si>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</si>
  <si>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</si>
  <si>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</si>
  <si>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</si>
  <si>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</si>
  <si>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</si>
  <si>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</si>
  <si>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</si>
  <si>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</si>
  <si>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</si>
  <si>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</si>
  <si>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</si>
  <si>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</si>
  <si>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</si>
  <si>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</si>
  <si>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</si>
  <si>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</si>
  <si>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</si>
  <si>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</si>
  <si>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</si>
  <si>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</si>
  <si>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</si>
  <si>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</si>
  <si>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</si>
  <si>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</si>
  <si>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</si>
  <si>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</si>
  <si>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</si>
  <si>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</si>
  <si>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</si>
  <si>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</si>
  <si>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</si>
  <si>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</si>
  <si>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</si>
  <si>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</si>
  <si>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</si>
  <si>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</si>
  <si>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</si>
  <si>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</si>
  <si>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</si>
  <si>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</si>
  <si>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</si>
  <si>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</si>
  <si>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</si>
  <si>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</si>
  <si>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</si>
  <si>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</si>
  <si>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</si>
  <si>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</si>
  <si>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</si>
  <si>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</si>
  <si>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</si>
  <si>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</si>
  <si>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</si>
  <si>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</si>
  <si>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</si>
  <si>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</si>
  <si>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</si>
  <si>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</si>
  <si>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</si>
  <si>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</si>
  <si>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</si>
  <si>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</si>
  <si>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</si>
  <si>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</si>
  <si>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</si>
  <si>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</si>
  <si>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</si>
  <si>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</si>
  <si>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</si>
  <si>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</si>
  <si>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</si>
  <si>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</si>
  <si>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</si>
  <si>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</si>
  <si>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</si>
  <si>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</si>
  <si>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</si>
  <si>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</si>
  <si>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</si>
  <si>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</si>
  <si>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</si>
  <si>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</si>
  <si>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</si>
  <si>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</si>
  <si>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</si>
  <si>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</si>
  <si>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</si>
  <si>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</si>
  <si>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</si>
  <si>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</si>
  <si>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</si>
  <si>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</si>
  <si>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</si>
  <si>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</si>
  <si>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</si>
  <si>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</si>
  <si>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</si>
  <si>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</si>
  <si>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</si>
  <si>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</si>
  <si>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</si>
  <si>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</si>
  <si>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</si>
  <si>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</si>
  <si>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</si>
  <si>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</si>
  <si>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</si>
  <si>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</si>
  <si>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</si>
  <si>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</si>
  <si>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</si>
  <si>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</si>
  <si>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</si>
  <si>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</si>
  <si>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</si>
  <si>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</si>
  <si>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</si>
  <si>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</si>
  <si>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</si>
  <si>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</si>
  <si>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</si>
  <si>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</si>
  <si>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</si>
  <si>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</si>
  <si>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</si>
  <si>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</si>
  <si>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</si>
  <si>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</si>
  <si>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</si>
  <si>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</si>
  <si>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</si>
  <si>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</si>
  <si>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</si>
  <si>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</si>
  <si>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</si>
  <si>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</si>
  <si>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</si>
  <si>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</si>
  <si>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</si>
  <si>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</si>
  <si>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</si>
  <si>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</si>
  <si>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</si>
  <si>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</si>
  <si>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</si>
  <si>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</si>
  <si>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</si>
  <si>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</si>
  <si>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</si>
  <si>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</si>
  <si>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</si>
  <si>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</si>
  <si>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</si>
  <si>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</si>
  <si>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</si>
  <si>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</si>
  <si>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</si>
  <si>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</si>
  <si>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</si>
  <si>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</si>
  <si>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</si>
  <si>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</si>
  <si>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</si>
  <si>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</si>
  <si>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</si>
  <si>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</si>
  <si>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</si>
  <si>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</si>
  <si>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</si>
  <si>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</si>
  <si>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</si>
  <si>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</si>
  <si>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</si>
  <si>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</si>
  <si>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</si>
  <si>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</si>
  <si>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</si>
  <si>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</si>
  <si>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</si>
  <si>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</si>
  <si>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</si>
  <si>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</si>
  <si>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</si>
  <si>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</si>
  <si>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</si>
  <si>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</si>
  <si>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</si>
  <si>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</si>
  <si>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</si>
  <si>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</si>
  <si>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</si>
  <si>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</si>
  <si>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</si>
  <si>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</si>
  <si>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</si>
  <si>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</si>
  <si>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</si>
  <si>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</si>
  <si>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</si>
  <si>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</si>
  <si>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</si>
  <si>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</si>
  <si>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</si>
  <si>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</si>
  <si>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</si>
  <si>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</si>
  <si>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</si>
  <si>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</si>
  <si>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</si>
  <si>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</si>
  <si>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</si>
  <si>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</si>
  <si>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</si>
  <si>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</si>
  <si>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</si>
  <si>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</si>
  <si>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</si>
  <si>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</si>
  <si>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</si>
  <si>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</si>
  <si>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</si>
  <si>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</si>
  <si>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</si>
  <si>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</si>
  <si>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</si>
  <si>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</si>
  <si>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</si>
  <si>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</si>
  <si>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</si>
  <si>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</si>
  <si>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</si>
  <si>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</si>
  <si>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</si>
  <si>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</si>
  <si>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</si>
  <si>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</si>
  <si>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</si>
  <si>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</si>
  <si>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</si>
  <si>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</si>
  <si>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</si>
  <si>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</si>
  <si>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</si>
  <si>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</si>
  <si>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</si>
  <si>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</si>
  <si>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</si>
  <si>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</si>
  <si>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</si>
  <si>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</si>
  <si>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</si>
  <si>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</si>
  <si>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</si>
  <si>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</si>
  <si>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</si>
  <si>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</si>
  <si>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</si>
  <si>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</si>
  <si>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</si>
  <si>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</si>
  <si>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</si>
  <si>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</si>
  <si>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</si>
  <si>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</si>
  <si>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</si>
  <si>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</si>
  <si>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</si>
  <si>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</si>
  <si>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</si>
  <si>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</si>
  <si>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</si>
  <si>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</si>
  <si>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</si>
  <si>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</si>
  <si>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</si>
  <si>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</si>
  <si>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</si>
  <si>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</si>
  <si>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</si>
  <si>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</si>
  <si>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</si>
  <si>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</si>
  <si>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</si>
  <si>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</si>
  <si>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</si>
  <si>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</si>
  <si>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</si>
  <si>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</si>
  <si>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</si>
  <si>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</si>
  <si>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</si>
  <si>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</si>
  <si>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</si>
  <si>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</si>
  <si>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</si>
  <si>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</si>
  <si>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</si>
  <si>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</si>
  <si>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</si>
  <si>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</si>
  <si>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</si>
  <si>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</si>
  <si>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</si>
  <si>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</si>
  <si>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</si>
  <si>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</si>
  <si>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</si>
  <si>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</si>
  <si>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</si>
  <si>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</si>
  <si>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</si>
  <si>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</si>
  <si>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</si>
  <si>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</si>
  <si>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</si>
  <si>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</si>
  <si>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</si>
  <si>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</si>
  <si>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</si>
  <si>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</si>
  <si>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</si>
  <si>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</si>
  <si>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</si>
  <si>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</si>
  <si>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</si>
  <si>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</si>
  <si>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</si>
  <si>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</si>
  <si>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</si>
  <si>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</si>
  <si>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</si>
  <si>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</si>
  <si>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</si>
  <si>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</si>
  <si>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</si>
  <si>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</si>
  <si>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</si>
  <si>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</si>
  <si>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</si>
  <si>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</si>
  <si>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</si>
  <si>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</si>
  <si>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</si>
  <si>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</si>
  <si>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</si>
  <si>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</si>
  <si>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</si>
  <si>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</si>
  <si>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</si>
  <si>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</si>
  <si>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</si>
  <si>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</si>
  <si>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</si>
  <si>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</si>
  <si>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</si>
  <si>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</si>
  <si>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</si>
  <si>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</si>
  <si>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</si>
  <si>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</si>
  <si>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</si>
  <si>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</si>
  <si>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</si>
  <si>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</si>
  <si>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</si>
  <si>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</si>
  <si>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</si>
  <si>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</si>
  <si>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</si>
  <si>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</si>
  <si>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</si>
  <si>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</si>
  <si>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</si>
  <si>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</si>
  <si>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</si>
  <si>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</si>
  <si>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</si>
  <si>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</si>
  <si>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</si>
  <si>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</si>
  <si>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</si>
  <si>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</si>
  <si>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</si>
  <si>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</si>
  <si>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</si>
  <si>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</si>
  <si>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</si>
  <si>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</si>
  <si>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</si>
  <si>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</si>
  <si>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</si>
  <si>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</si>
  <si>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</si>
  <si>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</si>
  <si>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</si>
  <si>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</si>
  <si>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</si>
  <si>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</si>
  <si>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</si>
  <si>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</si>
  <si>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</si>
  <si>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</si>
  <si>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</si>
  <si>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</si>
  <si>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</si>
  <si>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</si>
  <si>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</si>
  <si>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</si>
  <si>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</si>
  <si>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</si>
  <si>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</si>
  <si>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</si>
  <si>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</si>
  <si>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</si>
  <si>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</si>
  <si>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</si>
  <si>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</si>
  <si>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</si>
  <si>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</si>
  <si>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</si>
  <si>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</si>
  <si>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</si>
  <si>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</si>
  <si>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</si>
  <si>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</si>
  <si>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</si>
  <si>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</si>
  <si>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</si>
  <si>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</si>
  <si>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</si>
  <si>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</si>
  <si>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</si>
  <si>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</si>
  <si>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</si>
  <si>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</si>
  <si>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</si>
  <si>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</si>
  <si>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</si>
  <si>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</si>
  <si>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</si>
  <si>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</si>
  <si>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</si>
  <si>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</si>
  <si>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</si>
  <si>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</si>
  <si>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</si>
  <si>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</si>
  <si>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</si>
  <si>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</si>
  <si>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</si>
  <si>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</si>
  <si>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</si>
  <si>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</si>
  <si>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</si>
  <si>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</si>
  <si>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</si>
  <si>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</si>
  <si>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</si>
  <si>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</si>
  <si>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</si>
  <si>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</si>
  <si>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</si>
  <si>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</si>
  <si>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</si>
  <si>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</si>
  <si>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</si>
  <si>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</si>
  <si>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</si>
  <si>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</si>
  <si>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</si>
  <si>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</si>
  <si>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</si>
  <si>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</si>
  <si>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</si>
  <si>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</si>
  <si>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</si>
  <si>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</si>
  <si>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</si>
  <si>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</si>
  <si>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</si>
  <si>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</si>
  <si>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</si>
  <si>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</si>
  <si>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</si>
  <si>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</si>
  <si>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</si>
  <si>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</si>
  <si>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</si>
  <si>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</si>
  <si>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</si>
  <si>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</si>
  <si>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</si>
  <si>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</si>
  <si>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</si>
  <si>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</si>
  <si>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</si>
  <si>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</si>
  <si>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</si>
  <si>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</si>
  <si>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</si>
  <si>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</si>
  <si>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</si>
  <si>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</si>
  <si>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</si>
  <si>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</si>
  <si>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</si>
  <si>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</si>
  <si>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</si>
  <si>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</si>
  <si>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</si>
  <si>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</si>
  <si>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</si>
  <si>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</si>
  <si>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</si>
  <si>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</si>
  <si>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</si>
  <si>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</si>
  <si>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</si>
  <si>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</si>
  <si>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</si>
  <si>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</si>
  <si>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</si>
  <si>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</si>
  <si>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</si>
  <si>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</si>
  <si>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</si>
  <si>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</si>
  <si>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</si>
  <si>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</si>
  <si>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</si>
  <si>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</si>
  <si>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</si>
  <si>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</si>
  <si>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</si>
  <si>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</si>
  <si>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</si>
  <si>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</si>
  <si>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</si>
  <si>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</si>
  <si>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</si>
  <si>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</si>
  <si>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</si>
  <si>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</si>
  <si>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</si>
  <si>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</si>
  <si>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</si>
  <si>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</si>
  <si>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</si>
  <si>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</si>
  <si>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</si>
  <si>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</si>
  <si>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</si>
  <si>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</si>
  <si>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</si>
  <si>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</si>
  <si>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</si>
  <si>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</si>
  <si>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</si>
  <si>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</si>
  <si>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</si>
  <si>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</si>
  <si>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</si>
  <si>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</si>
  <si>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</si>
  <si>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</si>
  <si>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</si>
  <si>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</si>
  <si>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</si>
  <si>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</si>
  <si>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</si>
  <si>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</si>
  <si>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</si>
  <si>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</si>
  <si>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</si>
  <si>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</si>
  <si>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</si>
  <si>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</si>
  <si>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</si>
  <si>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</si>
  <si>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</si>
  <si>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</si>
  <si>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</si>
  <si>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</si>
  <si>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</si>
  <si>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</si>
  <si>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</si>
  <si>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</si>
  <si>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</si>
  <si>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</si>
  <si>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</si>
  <si>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</si>
  <si>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</si>
  <si>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</si>
  <si>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</si>
  <si>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</si>
  <si>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</si>
  <si>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</si>
  <si>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</si>
  <si>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</si>
  <si>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</si>
  <si>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</si>
  <si>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</si>
  <si>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</si>
  <si>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</si>
  <si>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</si>
  <si>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</si>
  <si>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</si>
  <si>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</si>
  <si>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</si>
  <si>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</si>
  <si>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</si>
  <si>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</si>
  <si>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</si>
  <si>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</si>
  <si>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</si>
  <si>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</si>
  <si>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</si>
  <si>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</si>
  <si>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</si>
  <si>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</si>
  <si>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</si>
  <si>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</si>
  <si>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</si>
  <si>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</si>
  <si>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</si>
  <si>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</si>
  <si>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</si>
  <si>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</si>
  <si>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</si>
  <si>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</si>
  <si>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</si>
  <si>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</si>
  <si>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</si>
  <si>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</si>
  <si>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</si>
  <si>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</si>
  <si>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</si>
  <si>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</si>
  <si>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</si>
  <si>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</si>
  <si>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</si>
  <si>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</si>
  <si>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</si>
  <si>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</si>
  <si>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</si>
  <si>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</si>
  <si>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</si>
  <si>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</si>
  <si>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</si>
  <si>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</si>
  <si>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</si>
  <si>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</si>
  <si>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</si>
  <si>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</si>
  <si>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</si>
  <si>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</si>
  <si>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</si>
  <si>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</si>
  <si>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</si>
  <si>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</si>
  <si>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</si>
  <si>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</si>
  <si>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</si>
  <si>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</si>
  <si>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</si>
  <si>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</si>
  <si>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</si>
  <si>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</si>
  <si>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</si>
  <si>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</si>
  <si>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</si>
  <si>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</si>
  <si>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</si>
  <si>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</si>
  <si>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</si>
  <si>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</si>
  <si>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</si>
  <si>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</si>
  <si>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</si>
  <si>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</si>
  <si>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</si>
  <si>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</si>
  <si>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</si>
  <si>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</si>
  <si>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</si>
  <si>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</si>
  <si>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</si>
  <si>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</si>
  <si>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</si>
  <si>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</si>
  <si>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</si>
  <si>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</si>
  <si>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</si>
  <si>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</si>
  <si>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</si>
  <si>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</si>
  <si>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</si>
  <si>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</si>
  <si>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</si>
  <si>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</si>
  <si>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</si>
  <si>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</si>
  <si>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</si>
  <si>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</si>
  <si>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</si>
  <si>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</si>
  <si>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</si>
  <si>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</si>
  <si>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</si>
  <si>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</si>
  <si>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</si>
  <si>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</si>
  <si>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</si>
  <si>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</si>
  <si>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</si>
  <si>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</si>
  <si>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</si>
  <si>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</si>
  <si>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</si>
  <si>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</si>
  <si>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</si>
  <si>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</si>
  <si>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</si>
  <si>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</si>
  <si>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</si>
  <si>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</si>
  <si>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</si>
  <si>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</si>
  <si>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</si>
  <si>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</si>
  <si>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</si>
  <si>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</si>
  <si>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</si>
  <si>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</si>
  <si>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</si>
  <si>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</si>
  <si>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</si>
  <si>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</si>
  <si>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</si>
  <si>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</si>
  <si>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</si>
  <si>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</si>
  <si>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</si>
  <si>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</si>
  <si>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</si>
  <si>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</si>
  <si>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</si>
  <si>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</si>
  <si>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</si>
  <si>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</si>
  <si>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</si>
  <si>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</si>
  <si>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</si>
  <si>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</si>
  <si>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</si>
  <si>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</si>
  <si>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</si>
  <si>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</si>
  <si>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</si>
  <si>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</si>
  <si>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</si>
  <si>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</si>
  <si>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</si>
  <si>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</si>
  <si>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</si>
  <si>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</si>
  <si>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</si>
  <si>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</si>
  <si>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</si>
  <si>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</si>
  <si>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</si>
  <si>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</si>
  <si>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</si>
  <si>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</si>
  <si>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</si>
  <si>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</si>
  <si>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</si>
  <si>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</si>
  <si>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</si>
  <si>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</si>
  <si>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</si>
  <si>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</si>
  <si>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</si>
  <si>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</si>
  <si>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</si>
  <si>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</si>
  <si>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</si>
  <si>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</si>
  <si>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</si>
  <si>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</si>
  <si>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</si>
  <si>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</si>
  <si>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</si>
  <si>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</si>
  <si>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</si>
  <si>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</si>
  <si>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</si>
  <si>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</si>
  <si>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</si>
  <si>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</si>
  <si>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</si>
  <si>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</si>
  <si>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</si>
  <si>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</si>
  <si>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</si>
  <si>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</si>
  <si>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</si>
  <si>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</si>
  <si>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</si>
  <si>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</si>
  <si>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</si>
  <si>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</si>
  <si>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</si>
  <si>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</si>
  <si>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</si>
  <si>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</si>
  <si>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</si>
  <si>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</si>
  <si>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</si>
  <si>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</si>
  <si>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</si>
  <si>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</si>
  <si>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</si>
  <si>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</si>
  <si>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</si>
  <si>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</si>
  <si>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</si>
  <si>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</si>
  <si>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</si>
  <si>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</si>
  <si>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</si>
  <si>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</si>
  <si>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</si>
  <si>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</si>
  <si>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</si>
  <si>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</si>
  <si>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</si>
  <si>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</si>
  <si>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</si>
  <si>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</si>
  <si>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</si>
  <si>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</si>
  <si>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</si>
  <si>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</si>
  <si>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</si>
  <si>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</si>
  <si>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</si>
  <si>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</si>
  <si>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</si>
  <si>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</si>
  <si>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</si>
  <si>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</si>
  <si>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</si>
  <si>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</si>
  <si>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</si>
  <si>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</si>
  <si>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</si>
  <si>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</si>
  <si>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</si>
  <si>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</si>
  <si>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</si>
  <si>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</si>
  <si>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</si>
  <si>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</si>
  <si>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</si>
  <si>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</si>
  <si>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</si>
  <si>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</si>
  <si>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</si>
  <si>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</si>
  <si>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</si>
  <si>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</si>
  <si>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</si>
  <si>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</si>
  <si>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</si>
  <si>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</si>
  <si>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</si>
  <si>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</si>
  <si>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</si>
  <si>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</si>
  <si>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</si>
  <si>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</si>
  <si>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</si>
  <si>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</si>
  <si>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</si>
  <si>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</si>
  <si>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</si>
  <si>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</si>
  <si>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</si>
  <si>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</si>
  <si>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</si>
  <si>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</si>
  <si>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</si>
  <si>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</si>
  <si>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</si>
  <si>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</si>
  <si>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</si>
  <si>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</si>
  <si>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</si>
  <si>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</si>
  <si>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</si>
  <si>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</si>
  <si>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</si>
  <si>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</si>
  <si>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</si>
  <si>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</si>
  <si>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</si>
  <si>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</si>
  <si>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</si>
  <si>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</si>
  <si>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</si>
  <si>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</si>
  <si>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</si>
  <si>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</si>
  <si>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</si>
  <si>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</si>
  <si>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</si>
  <si>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</si>
  <si>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</si>
  <si>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</si>
  <si>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</si>
  <si>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</si>
  <si>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</si>
  <si>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</si>
  <si>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</si>
  <si>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</si>
  <si>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</si>
  <si>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</si>
  <si>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</si>
  <si>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</si>
  <si>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</si>
  <si>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</si>
  <si>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</si>
  <si>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</si>
  <si>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</si>
  <si>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</si>
  <si>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</si>
  <si>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</si>
  <si>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</si>
  <si>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</si>
  <si>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</si>
  <si>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</si>
  <si>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</si>
  <si>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</si>
  <si>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</si>
  <si>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</si>
  <si>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</si>
  <si>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</si>
  <si>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</si>
  <si>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</si>
  <si>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</si>
  <si>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</si>
  <si>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</si>
  <si>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</si>
  <si>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</si>
  <si>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</si>
  <si>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</si>
  <si>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</si>
  <si>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</si>
  <si>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</si>
  <si>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</si>
  <si>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</si>
  <si>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</si>
  <si>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</si>
  <si>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</si>
  <si>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</si>
  <si>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</si>
  <si>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</si>
  <si>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</si>
  <si>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</si>
  <si>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</si>
  <si>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</si>
  <si>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</si>
  <si>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</si>
  <si>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</si>
  <si>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</si>
  <si>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</si>
  <si>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</si>
  <si>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</si>
  <si>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</si>
  <si>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</si>
  <si>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</si>
  <si>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</si>
  <si>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</si>
  <si>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</si>
  <si>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</si>
  <si>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</si>
  <si>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</si>
  <si>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</si>
  <si>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</si>
  <si>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</si>
  <si>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</si>
  <si>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</si>
  <si>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</si>
  <si>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</si>
  <si>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</si>
  <si>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</si>
  <si>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</si>
  <si>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</si>
  <si>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</si>
  <si>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</si>
  <si>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</si>
  <si>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</si>
  <si>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</si>
  <si>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</si>
  <si>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</si>
  <si>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</si>
  <si>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</si>
  <si>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</si>
  <si>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</si>
  <si>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</si>
  <si>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</si>
  <si>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</si>
  <si>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</si>
  <si>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</si>
  <si>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</si>
  <si>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</si>
  <si>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</si>
  <si>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</si>
  <si>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</si>
  <si>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</si>
  <si>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</si>
  <si>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</si>
  <si>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</si>
  <si>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</si>
  <si>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</si>
  <si>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</si>
  <si>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</si>
  <si>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</si>
  <si>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</si>
  <si>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</si>
  <si>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</si>
  <si>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</si>
  <si>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</si>
  <si>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</si>
  <si>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</si>
  <si>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</si>
  <si>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</si>
  <si>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</si>
  <si>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</si>
  <si>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</si>
  <si>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</si>
  <si>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</si>
  <si>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</si>
  <si>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</si>
  <si>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</si>
  <si>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</si>
  <si>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</si>
  <si>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</si>
  <si>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</si>
  <si>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</si>
  <si>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</si>
  <si>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</si>
  <si>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</si>
  <si>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</si>
  <si>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</si>
  <si>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</si>
  <si>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</si>
  <si>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</si>
  <si>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</si>
  <si>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</si>
  <si>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</si>
  <si>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</si>
  <si>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</si>
  <si>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</si>
  <si>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</si>
  <si>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</si>
  <si>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</si>
  <si>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</si>
  <si>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</si>
  <si>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</si>
  <si>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</si>
  <si>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</si>
  <si>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</si>
  <si>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</si>
  <si>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</si>
  <si>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</si>
  <si>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</si>
  <si>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</si>
  <si>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</si>
  <si>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</si>
  <si>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</si>
  <si>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</si>
  <si>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</si>
  <si>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</si>
  <si>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</si>
  <si>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</si>
  <si>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</si>
  <si>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</si>
  <si>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</si>
  <si>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</si>
  <si>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</si>
  <si>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</si>
  <si>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</si>
  <si>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</si>
  <si>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</si>
  <si>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</si>
  <si>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</si>
  <si>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</si>
  <si>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</si>
  <si>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</si>
  <si>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</si>
  <si>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</si>
  <si>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</si>
  <si>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</si>
  <si>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</si>
  <si>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</si>
  <si>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</si>
  <si>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</si>
  <si>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</si>
  <si>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</si>
  <si>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</si>
  <si>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</si>
  <si>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</si>
  <si>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</si>
  <si>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</si>
  <si>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</si>
  <si>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</si>
  <si>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</si>
  <si>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</si>
  <si>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</si>
  <si>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</si>
  <si>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</si>
  <si>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</si>
  <si>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</si>
  <si>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</si>
  <si>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</si>
  <si>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</si>
  <si>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</si>
  <si>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</si>
  <si>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</si>
  <si>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</si>
  <si>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</si>
  <si>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</si>
  <si>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</si>
  <si>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</si>
  <si>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</si>
  <si>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</si>
  <si>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</si>
  <si>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</si>
  <si>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</si>
  <si>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</si>
  <si>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</si>
  <si>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</si>
  <si>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</si>
  <si>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</si>
  <si>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</si>
  <si>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</si>
  <si>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</si>
  <si>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</si>
  <si>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</si>
  <si>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</si>
  <si>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</si>
  <si>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</si>
  <si>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</si>
  <si>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</si>
  <si>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</si>
  <si>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</si>
  <si>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</si>
  <si>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</si>
  <si>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</si>
  <si>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</si>
  <si>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</si>
  <si>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</si>
  <si>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</si>
  <si>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</si>
  <si>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</si>
  <si>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</si>
  <si>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</si>
  <si>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</si>
  <si>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</si>
  <si>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</si>
  <si>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</si>
  <si>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</si>
  <si>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</si>
  <si>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</si>
  <si>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</si>
  <si>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</si>
  <si>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</si>
  <si>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</si>
  <si>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</si>
  <si>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</si>
  <si>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</si>
  <si>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</si>
  <si>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</si>
  <si>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</si>
  <si>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</si>
  <si>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</si>
  <si>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</si>
  <si>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</si>
  <si>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</si>
  <si>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</si>
  <si>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</si>
  <si>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</si>
  <si>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</si>
  <si>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</si>
  <si>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</si>
  <si>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</si>
  <si>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</si>
  <si>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</si>
  <si>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</si>
  <si>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</si>
  <si>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</si>
  <si>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</si>
  <si>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</si>
  <si>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</si>
  <si>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</si>
  <si>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</si>
  <si>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</si>
  <si>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</si>
  <si>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</si>
  <si>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</si>
  <si>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</si>
  <si>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</si>
  <si>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</si>
  <si>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</si>
  <si>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</si>
  <si>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</si>
  <si>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</si>
  <si>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</si>
  <si>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</si>
  <si>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</si>
  <si>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</si>
  <si>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</si>
  <si>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</si>
  <si>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</si>
  <si>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</si>
  <si>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</si>
  <si>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</si>
  <si>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</si>
  <si>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</si>
  <si>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</si>
  <si>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</si>
  <si>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</si>
  <si>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</si>
  <si>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</si>
  <si>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</si>
  <si>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</si>
  <si>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</si>
  <si>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</si>
  <si>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</si>
  <si>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</si>
  <si>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</si>
  <si>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</si>
  <si>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</si>
  <si>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</si>
  <si>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</si>
  <si>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</si>
  <si>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</si>
  <si>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</si>
  <si>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</si>
  <si>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</si>
  <si>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</si>
  <si>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</si>
  <si>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</si>
  <si>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</si>
  <si>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</si>
  <si>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</si>
  <si>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</si>
  <si>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</si>
  <si>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</si>
  <si>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</si>
  <si>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</si>
  <si>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</si>
  <si>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</si>
  <si>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</si>
  <si>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</si>
  <si>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</si>
  <si>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</si>
  <si>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</si>
  <si>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</si>
  <si>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</si>
  <si>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</si>
  <si>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</si>
  <si>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</si>
  <si>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</si>
  <si>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</si>
  <si>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</si>
  <si>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</si>
  <si>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</si>
  <si>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</si>
  <si>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</si>
  <si>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</si>
  <si>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</si>
  <si>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</si>
  <si>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</si>
  <si>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</si>
  <si>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</si>
  <si>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</si>
  <si>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</si>
  <si>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</si>
  <si>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</si>
  <si>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</si>
  <si>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</si>
  <si>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</si>
  <si>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</si>
  <si>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</si>
  <si>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</si>
  <si>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</si>
  <si>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</si>
  <si>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</si>
  <si>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</si>
  <si>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</si>
  <si>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</si>
  <si>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</si>
  <si>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</si>
  <si>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</si>
  <si>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</si>
  <si>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</si>
  <si>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</si>
  <si>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</si>
  <si>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</si>
  <si>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</si>
  <si>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</si>
  <si>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</si>
  <si>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</si>
  <si>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</si>
  <si>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</si>
  <si>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</si>
  <si>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</si>
  <si>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</si>
  <si>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</si>
  <si>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</si>
  <si>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</si>
  <si>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</si>
  <si>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</si>
  <si>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</si>
  <si>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</si>
  <si>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</si>
  <si>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</si>
  <si>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</si>
  <si>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</si>
  <si>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</si>
  <si>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</si>
  <si>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</si>
  <si>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</si>
  <si>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</si>
  <si>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</si>
  <si>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</si>
  <si>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</si>
  <si>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</si>
  <si>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</si>
  <si>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</si>
  <si>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</si>
  <si>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</si>
  <si>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</si>
  <si>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</si>
  <si>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</si>
  <si>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</si>
  <si>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</si>
  <si>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</si>
  <si>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</si>
  <si>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</si>
  <si>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</si>
  <si>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</si>
  <si>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</si>
  <si>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</si>
  <si>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</si>
  <si>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</si>
  <si>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</si>
  <si>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</si>
  <si>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</si>
  <si>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</si>
  <si>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</si>
  <si>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</si>
  <si>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</si>
  <si>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</si>
  <si>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</si>
  <si>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</si>
  <si>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</si>
  <si>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</si>
  <si>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</si>
  <si>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</si>
  <si>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</si>
  <si>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</si>
  <si>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</si>
  <si>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</si>
  <si>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</si>
  <si>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</si>
  <si>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</si>
  <si>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</si>
  <si>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</si>
  <si>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</si>
  <si>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</si>
  <si>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</si>
  <si>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</si>
  <si>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</si>
  <si>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</si>
  <si>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</si>
  <si>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</si>
  <si>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</si>
  <si>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</si>
  <si>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</si>
  <si>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</si>
  <si>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</si>
  <si>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</si>
  <si>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</si>
  <si>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</si>
  <si>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</si>
  <si>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</si>
  <si>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</si>
  <si>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</si>
  <si>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</si>
  <si>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</si>
  <si>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</si>
  <si>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</si>
  <si>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</si>
  <si>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</si>
  <si>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</si>
  <si>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</si>
  <si>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</si>
  <si>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</si>
  <si>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</si>
  <si>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</si>
  <si>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</si>
  <si>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</si>
  <si>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</si>
  <si>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</si>
  <si>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</si>
  <si>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</si>
  <si>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</si>
  <si>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</si>
  <si>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</si>
  <si>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</si>
  <si>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</si>
  <si>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</si>
  <si>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</si>
  <si>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</si>
  <si>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</si>
  <si>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</si>
  <si>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</si>
  <si>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</si>
  <si>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</si>
  <si>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</si>
  <si>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</si>
  <si>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</si>
  <si>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</si>
  <si>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</si>
  <si>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</si>
  <si>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</si>
  <si>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</si>
  <si>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</si>
  <si>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</si>
  <si>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</si>
  <si>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</si>
  <si>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</si>
  <si>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</si>
  <si>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</si>
  <si>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</si>
  <si>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</si>
  <si>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</si>
  <si>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</si>
  <si>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</si>
  <si>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</si>
  <si>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</si>
  <si>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</si>
  <si>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</si>
  <si>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</si>
  <si>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</si>
  <si>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</si>
  <si>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</si>
  <si>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</si>
  <si>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</si>
  <si>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</si>
  <si>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</si>
  <si>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</si>
  <si>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</si>
  <si>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</si>
  <si>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</si>
  <si>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</si>
  <si>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</si>
  <si>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</si>
  <si>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</si>
  <si>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</si>
  <si>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</si>
  <si>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</si>
  <si>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</si>
  <si>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</si>
  <si>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</si>
  <si>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</si>
  <si>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</si>
  <si>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</si>
  <si>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</si>
  <si>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</si>
  <si>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</si>
  <si>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</si>
  <si>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</si>
  <si>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</si>
  <si>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</si>
  <si>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</si>
  <si>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</si>
  <si>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</si>
  <si>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</si>
  <si>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</si>
  <si>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</si>
  <si>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</si>
  <si>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</si>
  <si>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</si>
  <si>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</si>
  <si>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</si>
  <si>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</si>
  <si>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</si>
  <si>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</si>
  <si>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</si>
  <si>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</si>
  <si>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</si>
  <si>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</si>
  <si>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</si>
  <si>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</si>
  <si>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</si>
  <si>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</si>
  <si>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</si>
  <si>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</si>
  <si>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</si>
  <si>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</si>
  <si>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</si>
  <si>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</si>
  <si>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</si>
  <si>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</si>
  <si>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</si>
  <si>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</si>
  <si>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</si>
  <si>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</si>
  <si>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</si>
  <si>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</si>
  <si>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</si>
  <si>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</si>
  <si>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</si>
  <si>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</si>
  <si>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</si>
  <si>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</si>
  <si>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</si>
  <si>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</si>
  <si>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</si>
  <si>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</si>
  <si>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</si>
  <si>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</si>
  <si>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</si>
  <si>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</si>
  <si>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</si>
  <si>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</si>
  <si>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</si>
  <si>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</si>
  <si>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</si>
  <si>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</si>
  <si>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</si>
  <si>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</si>
  <si>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</si>
  <si>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</si>
  <si>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</si>
  <si>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</si>
  <si>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</si>
  <si>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</si>
  <si>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</si>
  <si>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</si>
  <si>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</si>
  <si>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</si>
  <si>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</si>
  <si>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</si>
  <si>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</si>
  <si>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</si>
  <si>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</si>
  <si>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</si>
  <si>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</si>
  <si>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</si>
  <si>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</si>
  <si>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</si>
  <si>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</si>
  <si>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</si>
  <si>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</si>
  <si>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</si>
  <si>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</si>
  <si>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</si>
  <si>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</si>
  <si>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</si>
  <si>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</si>
  <si>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</si>
  <si>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</si>
  <si>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</si>
  <si>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</si>
  <si>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</si>
  <si>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</si>
  <si>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</si>
  <si>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</si>
  <si>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</si>
  <si>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</si>
  <si>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</si>
  <si>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</si>
  <si>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</si>
  <si>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</si>
  <si>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</si>
  <si>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</si>
  <si>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</si>
  <si>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</si>
  <si>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</si>
  <si>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</si>
  <si>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</si>
  <si>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</si>
  <si>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</si>
  <si>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</si>
  <si>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</si>
  <si>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</si>
  <si>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</si>
  <si>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</si>
  <si>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</si>
  <si>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</si>
  <si>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</si>
  <si>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</si>
  <si>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</si>
  <si>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</si>
  <si>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</si>
  <si>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</si>
  <si>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</si>
  <si>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</si>
  <si>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</si>
  <si>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</si>
  <si>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</si>
  <si>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</si>
  <si>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</si>
  <si>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</si>
  <si>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</si>
  <si>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</si>
  <si>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</si>
  <si>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</si>
  <si>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</si>
  <si>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</si>
  <si>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</si>
  <si>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</si>
  <si>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</si>
  <si>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</si>
  <si>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</si>
  <si>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</si>
  <si>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</si>
  <si>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</si>
  <si>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</si>
  <si>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</si>
  <si>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</si>
  <si>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</si>
  <si>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</si>
  <si>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</si>
  <si>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</si>
  <si>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</si>
  <si>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</si>
  <si>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</si>
  <si>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</si>
  <si>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</si>
  <si>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</si>
  <si>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</si>
  <si>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</si>
  <si>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</si>
  <si>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</si>
  <si>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</si>
  <si>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</si>
  <si>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</si>
  <si>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</si>
  <si>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</si>
  <si>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</si>
  <si>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</si>
  <si>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</si>
  <si>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</si>
  <si>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</si>
  <si>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</si>
  <si>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</si>
  <si>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</si>
  <si>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</si>
  <si>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</si>
  <si>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</si>
  <si>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</si>
  <si>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</si>
  <si>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</si>
  <si>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</si>
  <si>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</si>
  <si>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</si>
  <si>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</si>
  <si>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</si>
  <si>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</si>
  <si>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</si>
  <si>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</si>
  <si>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</si>
  <si>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</si>
  <si>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</si>
  <si>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</si>
  <si>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</si>
  <si>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</si>
  <si>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</si>
  <si>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</si>
  <si>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</si>
  <si>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</si>
  <si>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</si>
  <si>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</si>
  <si>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</si>
  <si>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</si>
  <si>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</si>
  <si>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</si>
  <si>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</si>
  <si>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</si>
  <si>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</si>
  <si>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</si>
  <si>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</si>
  <si>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</si>
  <si>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</si>
  <si>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</si>
  <si>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</si>
  <si>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</si>
  <si>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</si>
  <si>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</si>
  <si>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</si>
  <si>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</si>
  <si>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</si>
  <si>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</si>
  <si>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</si>
  <si>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</si>
  <si>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</si>
  <si>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</si>
  <si>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</si>
  <si>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</si>
  <si>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</si>
  <si>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</si>
  <si>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</si>
  <si>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</si>
  <si>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</si>
  <si>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</si>
  <si>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</si>
  <si>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</si>
  <si>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</si>
  <si>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</si>
  <si>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</si>
  <si>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</si>
  <si>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</si>
  <si>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</si>
  <si>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</si>
  <si>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</si>
  <si>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</si>
  <si>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</si>
  <si>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</si>
  <si>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</si>
  <si>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</si>
  <si>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</si>
  <si>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</si>
  <si>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</si>
  <si>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</si>
  <si>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</si>
  <si>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</si>
  <si>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</si>
  <si>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</si>
  <si>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</si>
  <si>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</si>
  <si>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</si>
  <si>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</si>
  <si>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</si>
  <si>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</si>
  <si>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</si>
  <si>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</si>
  <si>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</si>
  <si>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</si>
  <si>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</si>
  <si>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</si>
  <si>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</si>
  <si>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</si>
  <si>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</si>
  <si>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</si>
  <si>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</si>
  <si>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</si>
  <si>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</si>
  <si>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</si>
  <si>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</si>
  <si>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</si>
  <si>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</si>
  <si>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</si>
  <si>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</si>
  <si>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</si>
  <si>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</si>
  <si>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</si>
  <si>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</si>
  <si>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</si>
  <si>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</si>
  <si>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</si>
  <si>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</si>
  <si>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</si>
  <si>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</si>
  <si>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</si>
  <si>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</si>
  <si>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</si>
  <si>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</si>
  <si>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</si>
  <si>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</si>
  <si>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</si>
  <si>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</si>
  <si>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</si>
  <si>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</si>
  <si>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</si>
  <si>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</si>
  <si>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</si>
  <si>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</si>
  <si>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</si>
  <si>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</si>
  <si>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</si>
  <si>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</si>
  <si>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</si>
  <si>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</si>
  <si>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</si>
  <si>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</si>
  <si>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</si>
  <si>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</si>
  <si>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</si>
  <si>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</si>
  <si>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</si>
  <si>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</si>
  <si>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</si>
  <si>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</si>
  <si>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</si>
  <si>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</si>
  <si>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</si>
  <si>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</si>
  <si>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</si>
  <si>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</si>
  <si>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</si>
  <si>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</si>
  <si>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</si>
  <si>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</si>
  <si>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</si>
  <si>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</si>
  <si>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</si>
  <si>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</si>
  <si>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</si>
  <si>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</si>
  <si>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</si>
  <si>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</si>
  <si>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</si>
  <si>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</si>
  <si>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</si>
  <si>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</si>
  <si>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</si>
  <si>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</si>
  <si>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</si>
  <si>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</si>
  <si>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</si>
  <si>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</si>
  <si>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</si>
  <si>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</si>
  <si>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</si>
  <si>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</si>
  <si>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</si>
  <si>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</si>
  <si>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</si>
  <si>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</si>
  <si>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</si>
  <si>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</si>
  <si>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</si>
  <si>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</si>
  <si>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</si>
  <si>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</si>
  <si>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</si>
  <si>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</si>
  <si>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</si>
  <si>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</si>
  <si>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</si>
  <si>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</si>
  <si>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</si>
  <si>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</si>
  <si>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</si>
  <si>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</si>
  <si>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</si>
  <si>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</si>
  <si>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</si>
  <si>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</si>
  <si>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</si>
  <si>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</si>
  <si>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</si>
  <si>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</si>
  <si>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</si>
  <si>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</si>
  <si>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</si>
  <si>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</si>
  <si>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</si>
  <si>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</si>
  <si>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</si>
  <si>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</si>
  <si>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</si>
  <si>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</si>
  <si>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</si>
  <si>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</si>
  <si>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</si>
  <si>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</si>
  <si>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</si>
  <si>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</si>
  <si>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</si>
  <si>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</si>
  <si>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</si>
  <si>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</si>
  <si>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</si>
  <si>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</si>
  <si>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</si>
  <si>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</si>
  <si>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</si>
  <si>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</si>
  <si>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</si>
  <si>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</si>
  <si>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</si>
  <si>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</si>
  <si>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</si>
  <si>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</si>
  <si>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</si>
  <si>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</si>
  <si>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</si>
  <si>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</si>
  <si>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</si>
  <si>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</si>
  <si>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</si>
  <si>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</si>
  <si>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</si>
  <si>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</si>
  <si>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</si>
  <si>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</si>
  <si>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</si>
  <si>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</si>
  <si>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</si>
  <si>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</si>
  <si>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</si>
  <si>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</si>
  <si>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</si>
  <si>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</si>
  <si>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</si>
  <si>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</si>
  <si>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</si>
  <si>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</si>
  <si>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</si>
  <si>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</si>
  <si>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</si>
  <si>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</si>
  <si>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</si>
  <si>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</si>
  <si>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</si>
  <si>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</si>
  <si>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</si>
  <si>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</si>
  <si>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</si>
  <si>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</si>
  <si>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</si>
  <si>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</si>
  <si>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</si>
  <si>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</si>
  <si>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</si>
  <si>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</si>
  <si>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</si>
  <si>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</si>
  <si>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</si>
  <si>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</si>
  <si>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</si>
  <si>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</si>
  <si>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</si>
  <si>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</si>
  <si>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</si>
  <si>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</si>
  <si>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</si>
  <si>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</si>
  <si>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</si>
  <si>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</si>
  <si>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</si>
  <si>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</si>
  <si>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</si>
  <si>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</si>
  <si>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</si>
  <si>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</si>
  <si>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</si>
  <si>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</si>
  <si>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</si>
  <si>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</si>
  <si>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</si>
  <si>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</si>
  <si>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</si>
  <si>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</si>
  <si>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</si>
  <si>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</si>
  <si>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</si>
  <si>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</si>
  <si>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</si>
  <si>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</si>
  <si>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</si>
  <si>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</si>
  <si>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</si>
  <si>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</si>
  <si>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</si>
  <si>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</si>
  <si>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</si>
  <si>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</si>
  <si>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</si>
  <si>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</si>
  <si>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</si>
  <si>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</si>
  <si>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</si>
  <si>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</si>
  <si>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</si>
  <si>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</si>
  <si>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</si>
  <si>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</si>
  <si>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</si>
  <si>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</si>
  <si>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</si>
  <si>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</si>
  <si>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</si>
  <si>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</si>
  <si>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</si>
  <si>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</si>
  <si>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</si>
  <si>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</si>
  <si>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</si>
  <si>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</si>
  <si>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</si>
  <si>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</si>
  <si>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</si>
  <si>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</si>
  <si>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</si>
  <si>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</si>
  <si>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</si>
  <si>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</si>
  <si>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</si>
  <si>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</si>
  <si>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</si>
  <si>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</si>
  <si>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</si>
  <si>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</si>
  <si>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</si>
  <si>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</si>
  <si>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</si>
  <si>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</si>
  <si>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</si>
  <si>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</si>
  <si>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</si>
  <si>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</si>
  <si>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</si>
  <si>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</si>
  <si>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</si>
  <si>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</si>
  <si>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</si>
  <si>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</si>
  <si>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</si>
  <si>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</si>
  <si>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</si>
  <si>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</si>
  <si>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</si>
  <si>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</si>
  <si>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</si>
  <si>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</si>
  <si>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</si>
  <si>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</si>
  <si>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</si>
  <si>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</si>
  <si>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</si>
  <si>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</si>
  <si>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</si>
  <si>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</si>
  <si>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</si>
  <si>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</si>
  <si>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</si>
  <si>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</si>
  <si>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</si>
  <si>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</si>
  <si>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</si>
  <si>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</si>
  <si>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</si>
  <si>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</si>
  <si>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</si>
  <si>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</si>
  <si>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</si>
  <si>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</si>
  <si>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</si>
  <si>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</si>
  <si>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</si>
  <si>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</si>
  <si>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</si>
  <si>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</si>
  <si>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</si>
  <si>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</si>
  <si>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</si>
  <si>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</si>
  <si>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</si>
  <si>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</si>
  <si>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</si>
  <si>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</si>
  <si>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</si>
  <si>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</si>
  <si>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</si>
  <si>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</si>
  <si>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</si>
  <si>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</si>
  <si>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</si>
  <si>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</si>
  <si>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</si>
  <si>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</si>
  <si>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</si>
  <si>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</si>
  <si>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</si>
  <si>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</si>
  <si>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</si>
  <si>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</si>
  <si>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</si>
  <si>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</si>
  <si>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</si>
  <si>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</si>
  <si>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</si>
  <si>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</si>
  <si>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</si>
  <si>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</si>
  <si>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</si>
  <si>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</si>
  <si>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</si>
  <si>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</si>
  <si>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</si>
  <si>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</si>
  <si>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</si>
  <si>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</si>
  <si>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</si>
  <si>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</si>
  <si>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</si>
  <si>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</si>
  <si>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</si>
  <si>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</si>
  <si>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</si>
  <si>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</si>
  <si>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</si>
  <si>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</si>
  <si>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</si>
  <si>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</si>
  <si>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</si>
  <si>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</si>
  <si>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</si>
  <si>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</si>
  <si>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</si>
  <si>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</si>
  <si>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</si>
  <si>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</si>
  <si>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</si>
  <si>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</si>
  <si>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</si>
  <si>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</si>
  <si>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</si>
  <si>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</si>
  <si>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</si>
  <si>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</si>
  <si>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</si>
  <si>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</si>
  <si>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</si>
  <si>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</si>
  <si>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</si>
  <si>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</si>
  <si>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</si>
  <si>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</si>
  <si>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</si>
  <si>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</si>
  <si>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</si>
  <si>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</si>
  <si>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</si>
  <si>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</si>
  <si>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</si>
  <si>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</si>
  <si>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</si>
  <si>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</si>
  <si>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</si>
  <si>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</si>
  <si>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</si>
  <si>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</si>
  <si>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</si>
  <si>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</si>
  <si>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</si>
  <si>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</si>
  <si>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</si>
  <si>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</si>
  <si>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</si>
  <si>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</si>
  <si>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</si>
  <si>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</si>
  <si>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</si>
  <si>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</si>
  <si>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</si>
  <si>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</si>
  <si>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</si>
  <si>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</si>
  <si>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</si>
  <si>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</si>
  <si>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</si>
  <si>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</si>
  <si>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</si>
  <si>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</si>
  <si>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</si>
  <si>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</si>
  <si>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</si>
  <si>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</si>
  <si>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</si>
  <si>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</si>
  <si>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</si>
  <si>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</si>
  <si>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</si>
  <si>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</si>
  <si>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</si>
  <si>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</si>
  <si>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</si>
  <si>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</si>
  <si>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</si>
  <si>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</si>
  <si>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</si>
  <si>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</si>
  <si>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</si>
  <si>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</si>
  <si>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</si>
  <si>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</si>
  <si>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</si>
  <si>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</si>
  <si>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</si>
  <si>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</si>
  <si>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</si>
  <si>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</si>
  <si>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</si>
  <si>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</si>
  <si>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</si>
  <si>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</si>
  <si>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</si>
  <si>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</si>
  <si>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</si>
  <si>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</si>
  <si>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</si>
  <si>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</si>
  <si>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</si>
  <si>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</si>
  <si>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</si>
  <si>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</si>
  <si>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</si>
  <si>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</si>
  <si>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</si>
  <si>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</si>
  <si>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</si>
  <si>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</si>
  <si>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</si>
  <si>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</si>
  <si>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</si>
  <si>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</si>
  <si>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</si>
  <si>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</si>
  <si>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</si>
  <si>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</si>
  <si>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</si>
  <si>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</si>
  <si>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</si>
  <si>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</si>
  <si>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</si>
  <si>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</si>
  <si>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</si>
  <si>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</si>
  <si>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</si>
  <si>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</si>
  <si>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</si>
  <si>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</si>
  <si>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</si>
  <si>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</si>
  <si>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</si>
  <si>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</si>
  <si>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</si>
  <si>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</si>
  <si>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</si>
  <si>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</si>
  <si>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</si>
  <si>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</si>
  <si>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</si>
  <si>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</si>
  <si>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</si>
  <si>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</si>
  <si>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</si>
  <si>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</si>
  <si>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</si>
  <si>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</si>
  <si>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</si>
  <si>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</si>
  <si>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</si>
  <si>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</si>
  <si>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</si>
  <si>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</si>
  <si>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</si>
  <si>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</si>
  <si>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</si>
  <si>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</si>
  <si>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</si>
  <si>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</si>
  <si>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</si>
  <si>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</si>
  <si>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</si>
  <si>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</si>
  <si>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</si>
  <si>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</si>
  <si>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</si>
  <si>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</si>
  <si>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</si>
  <si>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</si>
  <si>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</si>
  <si>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</si>
  <si>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</si>
  <si>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</si>
  <si>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</si>
  <si>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</si>
  <si>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</si>
  <si>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</si>
  <si>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</si>
  <si>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</si>
  <si>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</si>
  <si>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</si>
  <si>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</si>
  <si>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</si>
  <si>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</si>
  <si>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</si>
  <si>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</si>
  <si>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</si>
  <si>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</si>
  <si>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</si>
  <si>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</si>
  <si>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</si>
  <si>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</si>
  <si>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</si>
  <si>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</si>
  <si>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</si>
  <si>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</si>
  <si>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</si>
  <si>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</si>
  <si>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</si>
  <si>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</si>
  <si>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</si>
  <si>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</si>
  <si>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</si>
  <si>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</si>
  <si>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</si>
  <si>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</si>
  <si>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</si>
  <si>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</si>
  <si>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</si>
  <si>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</si>
  <si>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</si>
  <si>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</si>
  <si>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</si>
  <si>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</si>
  <si>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</si>
  <si>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</si>
  <si>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</si>
  <si>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</si>
  <si>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</si>
  <si>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</si>
  <si>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</si>
  <si>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</si>
  <si>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</si>
  <si>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</si>
  <si>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</si>
  <si>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</si>
  <si>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</si>
  <si>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</si>
  <si>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</si>
  <si>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</si>
  <si>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</si>
  <si>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</si>
  <si>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</si>
  <si>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</si>
  <si>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</si>
  <si>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</si>
  <si>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</si>
  <si>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</si>
  <si>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</si>
  <si>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</si>
  <si>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</si>
  <si>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</si>
  <si>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</si>
  <si>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</si>
  <si>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</si>
  <si>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</si>
  <si>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</si>
  <si>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</si>
  <si>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</si>
  <si>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</si>
  <si>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</si>
  <si>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</si>
  <si>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</si>
  <si>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</si>
  <si>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</si>
  <si>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</si>
  <si>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</si>
  <si>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</si>
  <si>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</si>
  <si>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</si>
  <si>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</si>
  <si>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</si>
  <si>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</si>
  <si>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</si>
  <si>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</si>
  <si>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</si>
  <si>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</si>
  <si>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</si>
  <si>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</si>
  <si>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</si>
  <si>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</si>
  <si>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</si>
  <si>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</si>
  <si>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</si>
  <si>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</si>
  <si>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</si>
  <si>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</si>
  <si>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</si>
  <si>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</si>
  <si>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</si>
  <si>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</si>
  <si>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</si>
  <si>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</si>
  <si>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</si>
  <si>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</si>
  <si>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</si>
  <si>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</si>
  <si>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</si>
  <si>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</si>
  <si>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</si>
  <si>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</si>
  <si>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</si>
  <si>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</si>
  <si>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</si>
  <si>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</si>
  <si>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</si>
  <si>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</si>
  <si>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</si>
  <si>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</si>
  <si>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</si>
  <si>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</si>
  <si>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</si>
  <si>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</si>
  <si>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</si>
  <si>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</si>
  <si>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</si>
  <si>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</si>
  <si>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</si>
  <si>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</si>
  <si>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</si>
  <si>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</si>
  <si>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</si>
  <si>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</si>
  <si>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</si>
  <si>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</si>
  <si>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</si>
  <si>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</si>
  <si>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</si>
  <si>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</si>
  <si>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</si>
  <si>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</si>
  <si>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</si>
  <si>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</si>
  <si>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</si>
  <si>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</si>
  <si>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</si>
  <si>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</si>
  <si>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</si>
  <si>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</si>
  <si>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</si>
  <si>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</si>
  <si>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</si>
  <si>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</si>
  <si>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</si>
  <si>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</si>
  <si>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</si>
  <si>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</si>
  <si>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</si>
  <si>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</si>
  <si>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</si>
  <si>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</si>
  <si>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</si>
  <si>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</si>
  <si>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</si>
  <si>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</si>
  <si>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</si>
  <si>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</si>
  <si>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</si>
  <si>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</si>
  <si>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</si>
  <si>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</si>
  <si>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</si>
  <si>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</si>
  <si>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</si>
  <si>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</si>
  <si>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</si>
  <si>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</si>
  <si>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</si>
  <si>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</si>
  <si>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</si>
  <si>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</si>
  <si>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</si>
  <si>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</si>
  <si>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</si>
  <si>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</si>
  <si>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</si>
  <si>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</si>
  <si>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</si>
  <si>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</si>
  <si>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</si>
  <si>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</si>
  <si>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</si>
  <si>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</si>
  <si>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</si>
  <si>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</si>
  <si>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</si>
  <si>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</si>
  <si>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</si>
  <si>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</si>
  <si>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</si>
  <si>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</si>
  <si>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</si>
  <si>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</si>
  <si>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</si>
  <si>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</si>
  <si>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</si>
  <si>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</si>
  <si>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</si>
  <si>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</si>
  <si>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</si>
  <si>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</si>
  <si>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</si>
  <si>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</si>
  <si>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</si>
  <si>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</si>
  <si>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</si>
  <si>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</si>
  <si>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</si>
  <si>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</si>
  <si>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</si>
  <si>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</si>
  <si>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</si>
  <si>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</si>
  <si>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</si>
  <si>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</si>
  <si>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</si>
  <si>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</si>
  <si>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</si>
  <si>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</si>
  <si>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</si>
  <si>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</si>
  <si>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</si>
  <si>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</si>
  <si>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</si>
  <si>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</si>
  <si>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</si>
  <si>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</si>
  <si>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</si>
  <si>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</si>
  <si>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</si>
  <si>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</si>
  <si>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</si>
  <si>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</si>
  <si>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</si>
  <si>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</si>
  <si>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</si>
  <si>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</si>
  <si>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</si>
  <si>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</si>
  <si>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</si>
  <si>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</si>
  <si>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</si>
  <si>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</si>
  <si>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</si>
  <si>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</si>
  <si>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</si>
  <si>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</si>
  <si>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</si>
  <si>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</si>
  <si>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</si>
  <si>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</si>
  <si>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</si>
  <si>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</si>
  <si>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</si>
  <si>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</si>
  <si>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</si>
  <si>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</si>
  <si>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</si>
  <si>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</si>
  <si>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</si>
  <si>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</si>
  <si>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</si>
  <si>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</si>
  <si>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</si>
  <si>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</si>
  <si>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</si>
  <si>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</si>
  <si>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</si>
  <si>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</si>
  <si>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</si>
  <si>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</si>
  <si>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</si>
  <si>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</si>
  <si>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</si>
  <si>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</si>
  <si>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</si>
  <si>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</si>
  <si>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</si>
  <si>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</si>
  <si>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</si>
  <si>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</si>
  <si>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</si>
  <si>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</si>
  <si>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</si>
  <si>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</si>
  <si>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</si>
  <si>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</si>
  <si>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</si>
  <si>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</si>
  <si>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</si>
  <si>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</si>
  <si>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</si>
  <si>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</si>
  <si>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</si>
  <si>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</si>
  <si>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</si>
  <si>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</si>
  <si>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</si>
  <si>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</si>
  <si>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</si>
  <si>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</si>
  <si>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</si>
  <si>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</si>
  <si>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</si>
  <si>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</si>
  <si>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</si>
  <si>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</si>
  <si>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</si>
  <si>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</si>
  <si>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</si>
  <si>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</si>
  <si>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</si>
  <si>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</si>
  <si>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</si>
  <si>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</si>
  <si>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</si>
  <si>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</si>
  <si>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</si>
  <si>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</si>
  <si>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</si>
  <si>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</si>
  <si>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</si>
  <si>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</si>
  <si>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</si>
  <si>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</si>
  <si>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</si>
  <si>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</si>
  <si>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</si>
  <si>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</si>
  <si>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</si>
  <si>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</si>
  <si>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</si>
  <si>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</si>
  <si>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</si>
  <si>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</si>
  <si>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</si>
  <si>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</si>
  <si>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</si>
  <si>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</si>
  <si>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</si>
  <si>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</si>
  <si>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</si>
  <si>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</si>
  <si>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</si>
  <si>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</si>
  <si>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</si>
  <si>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</si>
  <si>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</si>
  <si>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</si>
  <si>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</si>
  <si>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</si>
  <si>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</si>
  <si>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</si>
  <si>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</si>
  <si>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</si>
  <si>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</si>
  <si>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</si>
  <si>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</si>
  <si>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</si>
  <si>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</si>
  <si>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</si>
  <si>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</si>
  <si>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</si>
  <si>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</si>
  <si>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</si>
  <si>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</si>
  <si>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</si>
  <si>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</si>
  <si>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</si>
  <si>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</si>
  <si>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</si>
  <si>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</si>
  <si>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</si>
  <si>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</si>
  <si>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</si>
  <si>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</si>
  <si>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</si>
  <si>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</si>
  <si>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</si>
  <si>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</si>
  <si>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</si>
  <si>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</si>
  <si>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</si>
  <si>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</si>
  <si>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</si>
  <si>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</si>
  <si>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</si>
  <si>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</si>
  <si>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</si>
  <si>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</si>
  <si>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</si>
  <si>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</si>
  <si>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</si>
  <si>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</si>
  <si>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</si>
  <si>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</si>
  <si>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</si>
  <si>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</si>
  <si>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</si>
  <si>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</si>
  <si>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</si>
  <si>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</si>
  <si>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</si>
  <si>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</si>
  <si>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</si>
  <si>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</si>
  <si>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</si>
  <si>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</si>
  <si>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</si>
  <si>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</si>
  <si>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</si>
  <si>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</si>
  <si>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</si>
  <si>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</si>
  <si>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</si>
  <si>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</si>
  <si>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</si>
  <si>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</si>
  <si>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</si>
  <si>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</si>
  <si>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</si>
  <si>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</si>
  <si>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</si>
  <si>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</si>
  <si>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</si>
  <si>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</si>
  <si>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</si>
  <si>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</si>
  <si>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</si>
  <si>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</si>
  <si>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</si>
  <si>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</si>
  <si>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</si>
  <si>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</si>
  <si>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</si>
  <si>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</si>
  <si>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</si>
  <si>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</si>
  <si>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</si>
  <si>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</si>
  <si>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</si>
  <si>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</si>
  <si>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</si>
  <si>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</si>
  <si>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</si>
  <si>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</si>
  <si>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</si>
  <si>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</si>
  <si>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</si>
  <si>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</si>
  <si>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</si>
  <si>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</si>
  <si>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</si>
  <si>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</si>
  <si>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</si>
  <si>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</si>
  <si>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</si>
  <si>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</si>
  <si>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</si>
  <si>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</si>
  <si>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</si>
  <si>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</si>
  <si>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</si>
  <si>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</si>
  <si>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</si>
  <si>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</si>
  <si>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</si>
  <si>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</si>
  <si>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</si>
  <si>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</si>
  <si>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</si>
  <si>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</si>
  <si>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</si>
  <si>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</si>
  <si>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</si>
  <si>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</si>
  <si>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</si>
  <si>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</si>
  <si>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</si>
  <si>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</si>
  <si>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</si>
  <si>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</si>
  <si>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</si>
  <si>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</si>
  <si>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</si>
  <si>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</si>
  <si>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</si>
  <si>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</si>
  <si>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</si>
  <si>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</si>
  <si>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</si>
  <si>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</si>
  <si>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</si>
  <si>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</si>
  <si>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</si>
  <si>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</si>
  <si>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</si>
  <si>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</si>
  <si>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</si>
  <si>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</si>
  <si>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</si>
  <si>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</si>
  <si>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</si>
  <si>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</si>
  <si>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</si>
  <si>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</si>
  <si>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</si>
  <si>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</si>
  <si>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</si>
  <si>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</si>
  <si>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</si>
  <si>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</si>
  <si>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</si>
  <si>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</si>
  <si>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</si>
  <si>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</si>
  <si>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</si>
  <si>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</si>
  <si>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</si>
  <si>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</si>
  <si>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</si>
  <si>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</si>
  <si>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</si>
  <si>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</si>
  <si>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</si>
  <si>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</si>
  <si>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</si>
  <si>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</si>
  <si>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</si>
  <si>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</si>
  <si>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</si>
  <si>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</si>
  <si>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</si>
  <si>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</si>
  <si>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</si>
  <si>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</si>
  <si>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</si>
  <si>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</si>
  <si>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</si>
  <si>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</si>
  <si>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</si>
  <si>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</si>
  <si>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</si>
  <si>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</si>
  <si>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</si>
  <si>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</si>
  <si>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</si>
  <si>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</si>
  <si>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</si>
  <si>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</si>
  <si>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</si>
  <si>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</si>
  <si>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</si>
  <si>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</si>
  <si>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</si>
  <si>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</si>
  <si>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</si>
  <si>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</si>
  <si>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</si>
  <si>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</si>
  <si>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</si>
  <si>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</si>
  <si>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</si>
  <si>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</si>
  <si>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</si>
  <si>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</si>
  <si>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</si>
  <si>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</si>
  <si>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</si>
  <si>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</si>
  <si>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</si>
  <si>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</si>
  <si>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</si>
  <si>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</si>
  <si>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</si>
  <si>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</si>
  <si>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</si>
  <si>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</si>
  <si>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</si>
  <si>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</si>
  <si>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</si>
  <si>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</si>
  <si>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</si>
  <si>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</si>
  <si>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</si>
  <si>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</si>
  <si>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</si>
  <si>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</si>
  <si>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</si>
  <si>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</si>
  <si>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</si>
  <si>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</si>
  <si>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</si>
  <si>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</si>
  <si>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</si>
  <si>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</si>
  <si>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</si>
  <si>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</si>
  <si>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</si>
  <si>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</si>
  <si>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</si>
  <si>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</si>
  <si>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</si>
  <si>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</si>
  <si>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</si>
  <si>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</si>
  <si>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</si>
  <si>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</si>
  <si>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</si>
  <si>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</si>
  <si>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</si>
  <si>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</si>
  <si>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</si>
  <si>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</si>
  <si>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</si>
  <si>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</si>
  <si>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</si>
  <si>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</si>
  <si>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</si>
  <si>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</si>
  <si>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</si>
  <si>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</si>
  <si>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</si>
  <si>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</si>
  <si>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</si>
  <si>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</si>
  <si>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</si>
  <si>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</si>
  <si>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</si>
  <si>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</si>
  <si>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</si>
  <si>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</si>
  <si>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</si>
  <si>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</si>
  <si>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</si>
  <si>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</si>
  <si>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</si>
  <si>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</si>
  <si>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</si>
  <si>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</si>
  <si>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</si>
  <si>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</si>
  <si>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</si>
  <si>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</si>
  <si>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</si>
  <si>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</si>
  <si>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</si>
  <si>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</si>
  <si>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</si>
  <si>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</si>
  <si>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</si>
  <si>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</si>
  <si>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</si>
  <si>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</si>
  <si>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</si>
  <si>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</si>
  <si>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</si>
  <si>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</si>
  <si>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</si>
  <si>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</si>
  <si>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</si>
  <si>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</si>
  <si>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</si>
  <si>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</si>
  <si>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</si>
  <si>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</si>
  <si>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</si>
  <si>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</si>
  <si>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</si>
  <si>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</si>
  <si>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</si>
  <si>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</si>
  <si>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</si>
  <si>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</si>
  <si>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</si>
  <si>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</si>
  <si>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</si>
  <si>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</si>
  <si>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</si>
  <si>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</si>
  <si>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</si>
  <si>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</si>
  <si>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</si>
  <si>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</si>
  <si>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</si>
  <si>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</si>
  <si>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</si>
  <si>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</si>
  <si>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</si>
  <si>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</si>
  <si>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</si>
  <si>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</si>
  <si>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</si>
  <si>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</si>
  <si>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</si>
  <si>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</si>
  <si>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</si>
  <si>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</si>
  <si>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</si>
  <si>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</si>
  <si>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</si>
  <si>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</si>
  <si>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</si>
  <si>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</si>
  <si>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</si>
  <si>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</si>
  <si>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</si>
  <si>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</si>
  <si>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</si>
  <si>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</si>
  <si>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</si>
  <si>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</si>
  <si>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</si>
  <si>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</si>
  <si>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</si>
  <si>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</si>
  <si>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</si>
  <si>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</si>
  <si>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</si>
  <si>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</si>
  <si>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</si>
  <si>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</si>
  <si>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</si>
  <si>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</si>
  <si>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</si>
  <si>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</si>
  <si>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</si>
  <si>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</si>
  <si>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</si>
  <si>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</si>
  <si>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</si>
  <si>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</si>
  <si>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</si>
  <si>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</si>
  <si>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</si>
  <si>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</si>
  <si>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</si>
  <si>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</si>
  <si>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</si>
  <si>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</si>
  <si>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</si>
  <si>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</si>
  <si>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</si>
  <si>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</si>
  <si>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</si>
  <si>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</si>
  <si>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</si>
  <si>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</si>
  <si>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</si>
  <si>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</si>
  <si>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</si>
  <si>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</si>
  <si>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</si>
  <si>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</si>
  <si>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</si>
  <si>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</si>
  <si>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</si>
  <si>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</si>
  <si>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</si>
  <si>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</si>
  <si>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</si>
  <si>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</si>
  <si>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</si>
  <si>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</si>
  <si>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</si>
  <si>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</si>
  <si>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</si>
  <si>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</si>
  <si>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</si>
  <si>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</si>
  <si>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</si>
  <si>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</si>
  <si>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</si>
  <si>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</si>
  <si>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</si>
  <si>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</si>
  <si>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</si>
  <si>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</si>
  <si>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</si>
  <si>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</si>
  <si>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</si>
  <si>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</si>
  <si>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</si>
  <si>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</si>
  <si>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</si>
  <si>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</si>
  <si>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</si>
  <si>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</si>
  <si>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</si>
  <si>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</si>
  <si>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</si>
  <si>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</si>
  <si>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</si>
  <si>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</si>
  <si>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</si>
  <si>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</si>
  <si>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</si>
  <si>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</si>
  <si>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</si>
  <si>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</si>
  <si>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</si>
  <si>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</si>
  <si>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</si>
  <si>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</si>
  <si>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</si>
  <si>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</si>
  <si>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</si>
  <si>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</si>
  <si>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</si>
  <si>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</si>
  <si>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</si>
  <si>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</si>
  <si>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</si>
  <si>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</si>
  <si>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</si>
  <si>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</si>
  <si>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</si>
  <si>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</si>
  <si>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</si>
  <si>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</si>
  <si>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</si>
  <si>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</si>
  <si>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</si>
  <si>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</si>
  <si>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</si>
  <si>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</si>
  <si>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</si>
  <si>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</si>
  <si>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</si>
  <si>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</si>
  <si>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</si>
  <si>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</si>
  <si>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</si>
  <si>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</si>
  <si>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</si>
  <si>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</si>
  <si>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</si>
  <si>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</si>
  <si>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</si>
  <si>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</si>
  <si>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</si>
  <si>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</si>
  <si>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</si>
  <si>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</si>
  <si>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</si>
  <si>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</si>
  <si>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</si>
  <si>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</si>
  <si>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</si>
  <si>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</si>
  <si>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</si>
  <si>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</si>
  <si>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</si>
  <si>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</si>
  <si>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</si>
  <si>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</si>
  <si>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</si>
  <si>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</si>
  <si>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</si>
  <si>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</si>
  <si>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</si>
  <si>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</si>
  <si>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</si>
  <si>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</si>
  <si>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</si>
  <si>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</si>
  <si>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</si>
  <si>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</si>
  <si>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</si>
  <si>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</si>
  <si>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</si>
  <si>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</si>
  <si>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</si>
  <si>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</si>
  <si>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</si>
  <si>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</si>
  <si>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</si>
  <si>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</si>
  <si>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</si>
  <si>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</si>
  <si>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</si>
  <si>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</si>
  <si>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</si>
  <si>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</si>
  <si>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</si>
  <si>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</si>
  <si>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</si>
  <si>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</si>
  <si>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</si>
  <si>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</si>
  <si>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</si>
  <si>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</si>
  <si>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</si>
  <si>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</si>
  <si>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</si>
  <si>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</si>
  <si>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</si>
  <si>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</si>
  <si>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</si>
  <si>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</si>
  <si>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</si>
  <si>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</si>
  <si>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</si>
  <si>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</si>
  <si>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</si>
  <si>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</si>
  <si>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</si>
  <si>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</si>
  <si>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</si>
  <si>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</si>
  <si>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</si>
  <si>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</si>
  <si>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</si>
  <si>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</si>
  <si>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</si>
  <si>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</si>
  <si>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</si>
  <si>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</si>
  <si>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</si>
  <si>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</si>
  <si>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</si>
  <si>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</si>
  <si>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</si>
  <si>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</si>
  <si>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</si>
  <si>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</si>
  <si>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</si>
  <si>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</si>
  <si>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</si>
  <si>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</si>
  <si>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</si>
  <si>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</si>
  <si>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</si>
  <si>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</si>
  <si>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</si>
  <si>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</si>
  <si>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</si>
  <si>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</si>
  <si>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</si>
  <si>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</si>
  <si>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</si>
  <si>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</si>
  <si>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</si>
  <si>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</si>
  <si>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</si>
  <si>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</si>
  <si>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</si>
  <si>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</si>
  <si>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</si>
  <si>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</si>
  <si>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</si>
  <si>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</si>
  <si>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</si>
  <si>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</si>
  <si>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</si>
  <si>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</si>
  <si>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</si>
  <si>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</si>
  <si>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</si>
  <si>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</si>
  <si>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</si>
  <si>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</si>
  <si>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</si>
  <si>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</si>
  <si>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</si>
  <si>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</si>
  <si>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</si>
  <si>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</si>
  <si>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</si>
  <si>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</si>
  <si>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</si>
  <si>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</si>
  <si>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</si>
  <si>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</si>
  <si>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</si>
  <si>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</si>
  <si>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</si>
  <si>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</si>
  <si>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</si>
  <si>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</si>
  <si>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</si>
  <si>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</si>
  <si>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</si>
  <si>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</si>
  <si>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</si>
  <si>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</si>
  <si>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</si>
  <si>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</si>
  <si>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</si>
  <si>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</si>
  <si>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</si>
  <si>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</si>
  <si>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</si>
  <si>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</si>
  <si>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</si>
  <si>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</si>
  <si>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</si>
  <si>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</si>
  <si>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</si>
  <si>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</si>
  <si>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</si>
  <si>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</si>
  <si>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</si>
  <si>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</si>
  <si>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</si>
  <si>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</si>
  <si>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</si>
  <si>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</si>
  <si>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</si>
  <si>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</si>
  <si>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</si>
  <si>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</si>
  <si>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</si>
  <si>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</si>
  <si>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</si>
  <si>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</si>
  <si>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</si>
  <si>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</si>
  <si>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</si>
  <si>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</si>
  <si>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</si>
  <si>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</si>
  <si>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</si>
  <si>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</si>
  <si>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</si>
  <si>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</si>
  <si>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</si>
  <si>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</si>
  <si>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</si>
  <si>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</si>
  <si>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</si>
  <si>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</si>
  <si>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</si>
  <si>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</si>
  <si>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</si>
  <si>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</si>
  <si>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</si>
  <si>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</si>
  <si>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</si>
  <si>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</si>
  <si>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</si>
  <si>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</si>
  <si>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</si>
  <si>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</si>
  <si>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</si>
  <si>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</si>
  <si>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</si>
  <si>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</si>
  <si>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</si>
  <si>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</si>
  <si>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</si>
  <si>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</si>
  <si>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</si>
  <si>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</si>
  <si>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</si>
  <si>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</si>
  <si>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</si>
  <si>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</si>
  <si>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</si>
  <si>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</si>
  <si>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</si>
  <si>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</si>
  <si>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</si>
  <si>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</si>
  <si>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</si>
  <si>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</si>
  <si>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</si>
  <si>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</si>
  <si>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</si>
  <si>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</si>
  <si>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</si>
  <si>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</si>
  <si>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</si>
  <si>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</si>
  <si>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</si>
  <si>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</si>
  <si>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</si>
  <si>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</si>
  <si>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</si>
  <si>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</si>
  <si>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</si>
  <si>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</si>
  <si>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</si>
  <si>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</si>
  <si>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</si>
  <si>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</si>
  <si>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</si>
  <si>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</si>
  <si>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</si>
  <si>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</si>
  <si>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</si>
  <si>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</si>
  <si>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</si>
  <si>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</si>
  <si>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</si>
  <si>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</si>
  <si>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</si>
  <si>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</si>
  <si>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</si>
  <si>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</si>
  <si>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</si>
  <si>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</si>
  <si>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</si>
  <si>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</si>
  <si>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</si>
  <si>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</si>
  <si>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</si>
  <si>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</si>
  <si>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</si>
  <si>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</si>
  <si>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</si>
  <si>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</si>
  <si>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</si>
  <si>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</si>
  <si>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</si>
  <si>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</si>
  <si>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</si>
  <si>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</si>
  <si>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</si>
  <si>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</si>
  <si>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</si>
  <si>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</si>
  <si>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</si>
  <si>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</si>
  <si>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</si>
  <si>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</si>
  <si>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</si>
  <si>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</si>
  <si>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</si>
  <si>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</si>
  <si>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</si>
  <si>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</si>
  <si>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</si>
  <si>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</si>
  <si>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</si>
  <si>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</si>
  <si>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</si>
  <si>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</si>
  <si>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</si>
  <si>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</si>
  <si>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</si>
  <si>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</si>
  <si>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</si>
  <si>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</si>
  <si>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</si>
  <si>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</si>
  <si>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</si>
  <si>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</si>
  <si>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</si>
  <si>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</si>
  <si>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</si>
  <si>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</si>
  <si>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</si>
  <si>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</si>
  <si>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</si>
  <si>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</si>
  <si>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</si>
  <si>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</si>
  <si>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</si>
  <si>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</si>
  <si>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</si>
  <si>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</si>
  <si>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</si>
  <si>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</si>
  <si>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</si>
  <si>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</si>
  <si>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</si>
  <si>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</si>
  <si>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</si>
  <si>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</si>
  <si>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</si>
  <si>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</si>
  <si>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</si>
  <si>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</si>
  <si>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</si>
  <si>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</si>
  <si>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</si>
  <si>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</si>
  <si>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</si>
  <si>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</si>
  <si>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</si>
  <si>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</si>
  <si>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</si>
  <si>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</si>
  <si>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</si>
  <si>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</si>
  <si>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</si>
  <si>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</si>
  <si>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</si>
  <si>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</si>
  <si>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</si>
  <si>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</si>
  <si>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</si>
  <si>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</si>
  <si>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</si>
  <si>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</si>
  <si>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</si>
  <si>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</si>
  <si>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</si>
  <si>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</si>
  <si>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</si>
  <si>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</si>
  <si>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</si>
  <si>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</si>
  <si>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</si>
  <si>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</si>
  <si>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</si>
  <si>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</si>
  <si>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</si>
  <si>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</si>
  <si>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</si>
  <si>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</si>
  <si>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</si>
  <si>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</si>
  <si>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</si>
  <si>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</si>
  <si>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</si>
  <si>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</si>
  <si>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</si>
  <si>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</si>
  <si>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</si>
  <si>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</si>
  <si>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</si>
  <si>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</si>
  <si>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</si>
  <si>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</si>
  <si>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</si>
  <si>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</si>
  <si>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</si>
  <si>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</si>
  <si>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</si>
  <si>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</si>
  <si>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</si>
  <si>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</si>
  <si>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</si>
  <si>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</si>
  <si>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</si>
  <si>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</si>
  <si>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</si>
  <si>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</si>
  <si>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</si>
  <si>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</si>
  <si>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</si>
  <si>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</si>
  <si>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</si>
  <si>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</si>
  <si>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</si>
  <si>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</si>
  <si>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</si>
  <si>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</si>
  <si>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</si>
  <si>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</si>
  <si>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</si>
  <si>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</si>
  <si>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</si>
  <si>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</si>
  <si>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</si>
  <si>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</si>
  <si>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</si>
  <si>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</si>
  <si>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</si>
  <si>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</si>
  <si>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</si>
  <si>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</si>
  <si>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</si>
  <si>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</si>
  <si>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</si>
  <si>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</si>
  <si>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</si>
  <si>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</si>
  <si>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</si>
  <si>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</si>
  <si>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</si>
  <si>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</si>
  <si>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</si>
  <si>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</si>
  <si>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</si>
  <si>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</si>
  <si>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</si>
  <si>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</si>
  <si>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</si>
  <si>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</si>
  <si>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</si>
  <si>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</si>
  <si>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</si>
  <si>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</si>
  <si>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</si>
  <si>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</si>
  <si>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</si>
  <si>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</si>
  <si>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</si>
  <si>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</si>
  <si>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</si>
  <si>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</si>
  <si>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</si>
  <si>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</si>
  <si>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</si>
  <si>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</si>
  <si>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</si>
  <si>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</si>
  <si>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</si>
  <si>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</si>
  <si>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</si>
  <si>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</si>
  <si>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</si>
  <si>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</si>
  <si>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</si>
  <si>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</si>
  <si>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</si>
  <si>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</si>
  <si>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</si>
  <si>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</si>
  <si>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</si>
  <si>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</si>
  <si>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</si>
  <si>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</si>
  <si>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</si>
  <si>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</si>
  <si>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</si>
  <si>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</si>
  <si>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</si>
  <si>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</si>
  <si>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</si>
  <si>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</si>
  <si>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</si>
  <si>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</si>
  <si>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</si>
  <si>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</si>
  <si>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</si>
  <si>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</si>
  <si>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</si>
  <si>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</si>
  <si>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</si>
  <si>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</si>
  <si>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</si>
  <si>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</si>
  <si>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</si>
  <si>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</si>
  <si>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</si>
  <si>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</si>
  <si>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</si>
  <si>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</si>
  <si>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</si>
  <si>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</si>
  <si>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</si>
  <si>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</si>
  <si>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</si>
  <si>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</si>
  <si>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</si>
  <si>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</si>
  <si>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</si>
  <si>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</si>
  <si>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</si>
  <si>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</si>
  <si>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</si>
  <si>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</si>
  <si>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</si>
  <si>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</si>
  <si>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</si>
  <si>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</si>
  <si>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</si>
  <si>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</si>
  <si>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</si>
  <si>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</si>
  <si>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</si>
  <si>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</si>
  <si>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</si>
  <si>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</si>
  <si>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</si>
  <si>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</si>
  <si>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</si>
  <si>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</si>
  <si>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</si>
  <si>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</si>
  <si>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</si>
  <si>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</si>
  <si>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</si>
  <si>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</si>
  <si>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</si>
  <si>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</si>
  <si>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</si>
  <si>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</si>
  <si>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</si>
  <si>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</si>
  <si>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</si>
  <si>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</si>
  <si>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</si>
  <si>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</si>
  <si>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</si>
  <si>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</si>
  <si>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</si>
  <si>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</si>
  <si>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</si>
  <si>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</si>
  <si>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</si>
  <si>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</si>
  <si>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</si>
  <si>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</si>
  <si>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</si>
  <si>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</si>
  <si>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</si>
  <si>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</si>
  <si>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</si>
  <si>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</si>
  <si>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</si>
  <si>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</si>
  <si>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</si>
  <si>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</si>
  <si>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</si>
  <si>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</si>
  <si>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</si>
  <si>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</si>
  <si>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</si>
  <si>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</si>
  <si>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</si>
  <si>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</si>
  <si>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</si>
  <si>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</si>
  <si>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</si>
  <si>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</si>
  <si>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</si>
  <si>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</si>
  <si>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</si>
  <si>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</si>
  <si>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</si>
  <si>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</si>
  <si>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</si>
  <si>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</si>
  <si>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</si>
  <si>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</si>
  <si>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</si>
  <si>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</si>
  <si>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</si>
  <si>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</si>
  <si>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</si>
  <si>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</si>
  <si>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</si>
  <si>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</si>
  <si>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</si>
  <si>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</si>
  <si>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</si>
  <si>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</si>
  <si>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</si>
  <si>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</si>
  <si>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</si>
  <si>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</si>
  <si>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</si>
  <si>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</si>
  <si>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</si>
  <si>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</si>
  <si>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</si>
  <si>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</si>
  <si>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</si>
  <si>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</si>
  <si>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</si>
  <si>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</si>
  <si>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</si>
  <si>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</si>
  <si>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</si>
  <si>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</si>
  <si>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</si>
  <si>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</si>
  <si>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</si>
  <si>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</si>
  <si>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</si>
  <si>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</si>
  <si>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</si>
  <si>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</si>
  <si>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</si>
  <si>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</si>
  <si>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</si>
  <si>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</si>
  <si>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</si>
  <si>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</si>
  <si>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</si>
  <si>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</si>
  <si>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</si>
  <si>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</si>
  <si>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</si>
  <si>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</si>
  <si>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</si>
  <si>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</si>
  <si>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</si>
  <si>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</si>
  <si>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</si>
  <si>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</si>
  <si>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</si>
  <si>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</si>
  <si>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</si>
  <si>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</si>
  <si>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</si>
  <si>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</si>
  <si>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</si>
  <si>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</si>
  <si>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</si>
  <si>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</si>
  <si>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</si>
  <si>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</si>
  <si>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</si>
  <si>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</si>
  <si>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</si>
  <si>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</si>
  <si>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</si>
  <si>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</si>
  <si>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</si>
  <si>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</si>
  <si>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</si>
  <si>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</si>
  <si>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</si>
  <si>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</si>
  <si>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</si>
  <si>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</si>
  <si>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</si>
  <si>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</si>
  <si>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</si>
  <si>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</si>
  <si>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</si>
  <si>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</si>
  <si>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</si>
  <si>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</si>
  <si>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</si>
  <si>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</si>
  <si>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</si>
  <si>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</si>
  <si>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</si>
  <si>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</si>
  <si>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</si>
  <si>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</si>
  <si>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</si>
  <si>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</si>
  <si>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</si>
  <si>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</si>
  <si>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</si>
  <si>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</si>
  <si>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</si>
  <si>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</si>
  <si>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</si>
  <si>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</si>
  <si>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</si>
  <si>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</si>
  <si>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</si>
  <si>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</si>
  <si>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</si>
  <si>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</si>
  <si>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</si>
  <si>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</si>
  <si>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</si>
  <si>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</si>
  <si>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</si>
  <si>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</si>
  <si>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</si>
  <si>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</si>
  <si>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</si>
  <si>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</si>
  <si>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</si>
  <si>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</si>
  <si>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</si>
  <si>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</si>
  <si>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</si>
  <si>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</si>
  <si>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</si>
  <si>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</si>
  <si>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</si>
  <si>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</si>
  <si>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</si>
  <si>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</si>
  <si>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</si>
  <si>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</si>
  <si>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</si>
  <si>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</si>
  <si>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</si>
  <si>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</si>
  <si>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</si>
  <si>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</si>
  <si>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</si>
  <si>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</si>
  <si>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</si>
  <si>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</si>
  <si>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</si>
  <si>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</si>
  <si>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</si>
  <si>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</si>
  <si>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</si>
  <si>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</si>
  <si>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</si>
  <si>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</si>
  <si>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</si>
  <si>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</si>
  <si>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</si>
  <si>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</si>
  <si>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</si>
  <si>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</si>
  <si>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</si>
  <si>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</si>
  <si>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</si>
  <si>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</si>
  <si>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</si>
  <si>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</si>
  <si>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</si>
  <si>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</si>
  <si>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</si>
  <si>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</si>
  <si>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</si>
  <si>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</si>
  <si>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</si>
  <si>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</si>
  <si>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</si>
  <si>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</si>
  <si>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</si>
  <si>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</si>
  <si>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</si>
  <si>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</si>
  <si>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</si>
  <si>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</si>
  <si>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</si>
  <si>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</si>
  <si>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</si>
  <si>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</si>
  <si>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</si>
  <si>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</si>
  <si>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</si>
  <si>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</si>
  <si>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</si>
  <si>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</si>
  <si>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</si>
  <si>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</si>
  <si>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</si>
  <si>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</si>
  <si>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</si>
  <si>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</si>
  <si>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</si>
  <si>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</si>
  <si>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</si>
  <si>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</si>
  <si>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</si>
  <si>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</si>
  <si>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</si>
  <si>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</si>
  <si>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</si>
  <si>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</si>
  <si>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</si>
  <si>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</si>
  <si>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</si>
  <si>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</si>
  <si>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</si>
  <si>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</si>
  <si>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</si>
  <si>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</si>
  <si>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</si>
  <si>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</si>
  <si>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</si>
  <si>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</si>
  <si>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</si>
  <si>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</si>
  <si>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</si>
  <si>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</si>
  <si>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</si>
  <si>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</si>
  <si>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</si>
  <si>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</si>
  <si>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</si>
  <si>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</si>
  <si>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</si>
  <si>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</si>
  <si>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</si>
  <si>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</si>
  <si>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</si>
  <si>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</si>
  <si>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</si>
  <si>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</si>
  <si>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</si>
  <si>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</si>
  <si>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</si>
  <si>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</si>
  <si>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</si>
  <si>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</si>
  <si>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</si>
  <si>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</si>
  <si>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</si>
  <si>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</si>
  <si>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</si>
  <si>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</si>
  <si>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</si>
  <si>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</si>
  <si>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</si>
  <si>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</si>
  <si>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</si>
  <si>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</si>
  <si>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</si>
  <si>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</si>
  <si>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</si>
  <si>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</si>
  <si>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</si>
  <si>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</si>
  <si>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</si>
  <si>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</si>
  <si>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</si>
  <si>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</si>
  <si>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</si>
  <si>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</si>
  <si>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</si>
  <si>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</si>
  <si>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</si>
  <si>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</si>
  <si>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</si>
  <si>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</si>
  <si>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</si>
  <si>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</si>
  <si>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</si>
  <si>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</si>
  <si>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</si>
  <si>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</si>
  <si>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</si>
  <si>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</si>
  <si>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</si>
  <si>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</si>
  <si>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</si>
  <si>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</si>
  <si>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</si>
  <si>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</si>
  <si>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</si>
  <si>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</si>
  <si>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</si>
  <si>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</si>
  <si>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</si>
  <si>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</si>
  <si>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</si>
  <si>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</si>
  <si>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</si>
  <si>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</si>
  <si>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</si>
  <si>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</si>
  <si>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</si>
  <si>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</si>
  <si>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</si>
  <si>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</si>
  <si>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</si>
  <si>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</si>
  <si>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</si>
  <si>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</si>
  <si>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</si>
  <si>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</si>
  <si>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</si>
  <si>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</si>
  <si>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</si>
  <si>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</si>
  <si>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</si>
  <si>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</si>
  <si>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</si>
  <si>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</si>
  <si>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</si>
  <si>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</si>
  <si>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</si>
  <si>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</si>
  <si>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</si>
  <si>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</si>
  <si>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</si>
  <si>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</si>
  <si>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</si>
  <si>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</si>
  <si>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</si>
  <si>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</si>
  <si>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</si>
  <si>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</si>
  <si>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</si>
  <si>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</si>
  <si>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</si>
  <si>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</si>
  <si>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</si>
  <si>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</si>
  <si>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</si>
  <si>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</si>
  <si>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</si>
  <si>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</si>
  <si>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</si>
  <si>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</si>
  <si>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</si>
  <si>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</si>
  <si>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</si>
  <si>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</si>
  <si>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</si>
  <si>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</si>
  <si>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</si>
  <si>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</si>
  <si>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</si>
  <si>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</si>
  <si>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</si>
  <si>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</si>
  <si>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</si>
  <si>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</si>
  <si>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</si>
  <si>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</si>
  <si>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</si>
  <si>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</si>
  <si>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</si>
  <si>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</si>
  <si>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</si>
  <si>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</si>
  <si>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</si>
  <si>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</si>
  <si>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</si>
  <si>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</si>
  <si>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</si>
  <si>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</si>
  <si>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</si>
  <si>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</si>
  <si>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</si>
  <si>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</si>
  <si>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</si>
  <si>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</si>
  <si>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</si>
  <si>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</si>
  <si>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</si>
  <si>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</si>
  <si>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</si>
  <si>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</si>
  <si>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</si>
  <si>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</si>
  <si>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</si>
  <si>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</si>
  <si>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</si>
  <si>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</si>
  <si>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</si>
  <si>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</si>
  <si>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</si>
  <si>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</si>
  <si>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</si>
  <si>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</si>
  <si>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</si>
  <si>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</si>
  <si>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</si>
  <si>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</si>
  <si>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</si>
  <si>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</si>
  <si>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</si>
  <si>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</si>
  <si>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</si>
  <si>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</si>
  <si>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</si>
  <si>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</si>
  <si>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</si>
  <si>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</si>
  <si>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</si>
  <si>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</si>
  <si>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</si>
  <si>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</si>
  <si>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</si>
  <si>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</si>
  <si>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</si>
  <si>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</si>
  <si>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</si>
  <si>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</si>
  <si>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</si>
  <si>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</si>
  <si>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</si>
  <si>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</si>
  <si>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</si>
  <si>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</si>
  <si>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</si>
  <si>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</si>
  <si>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</si>
  <si>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</si>
  <si>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</si>
  <si>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</si>
  <si>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</si>
  <si>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</si>
  <si>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</si>
  <si>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</si>
  <si>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</si>
  <si>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</si>
  <si>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</si>
  <si>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</si>
  <si>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</si>
  <si>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</si>
  <si>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</si>
  <si>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</si>
  <si>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</si>
  <si>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</si>
  <si>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</si>
  <si>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</si>
  <si>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</si>
  <si>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</si>
  <si>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</si>
  <si>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</si>
  <si>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</si>
  <si>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</si>
  <si>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</si>
  <si>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</si>
  <si>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</si>
  <si>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</si>
  <si>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</si>
  <si>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</si>
  <si>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</si>
  <si>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</si>
  <si>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</si>
  <si>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</si>
  <si>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</si>
  <si>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</si>
  <si>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</si>
  <si>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</si>
  <si>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</si>
  <si>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</si>
  <si>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</si>
  <si>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</si>
  <si>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</si>
  <si>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</si>
  <si>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</si>
  <si>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</si>
  <si>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</si>
  <si>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</si>
  <si>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</si>
  <si>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</si>
  <si>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</si>
  <si>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</si>
  <si>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</si>
  <si>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</si>
  <si>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</si>
  <si>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</si>
  <si>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</si>
  <si>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</si>
  <si>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</si>
  <si>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</si>
  <si>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</si>
  <si>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</si>
  <si>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</si>
  <si>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</si>
  <si>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</si>
  <si>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</si>
  <si>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</si>
  <si>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</si>
  <si>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</si>
  <si>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</si>
  <si>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</si>
  <si>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</si>
  <si>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</si>
  <si>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</si>
  <si>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</si>
  <si>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</si>
  <si>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</si>
  <si>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</si>
  <si>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</si>
  <si>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</si>
  <si>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</si>
  <si>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</si>
  <si>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</si>
  <si>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</si>
  <si>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</si>
  <si>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</si>
  <si>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</si>
  <si>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</si>
  <si>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</si>
  <si>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</si>
  <si>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</si>
  <si>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</si>
  <si>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</si>
  <si>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</si>
  <si>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</si>
  <si>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</si>
  <si>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</si>
  <si>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</si>
  <si>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</si>
  <si>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</si>
  <si>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</si>
  <si>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</si>
  <si>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</si>
  <si>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</si>
  <si>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</si>
  <si>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</si>
  <si>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</si>
  <si>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</si>
  <si>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</si>
  <si>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</si>
  <si>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</si>
  <si>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</si>
  <si>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</si>
  <si>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</si>
  <si>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</si>
  <si>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</si>
  <si>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</si>
  <si>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</si>
  <si>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</si>
  <si>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</si>
  <si>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</si>
  <si>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</si>
  <si>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</si>
  <si>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</si>
  <si>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</si>
  <si>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</si>
  <si>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</si>
  <si>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</si>
  <si>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</si>
  <si>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</si>
  <si>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</si>
  <si>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</si>
  <si>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</si>
  <si>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</si>
  <si>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</si>
  <si>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</si>
  <si>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</si>
  <si>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</si>
  <si>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</si>
  <si>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</si>
  <si>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</si>
  <si>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</si>
  <si>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</si>
  <si>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</si>
  <si>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</si>
  <si>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</si>
  <si>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</si>
  <si>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</si>
  <si>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</si>
  <si>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</si>
  <si>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</si>
  <si>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</si>
  <si>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</si>
  <si>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</si>
  <si>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</si>
  <si>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</si>
  <si>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</si>
  <si>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</si>
  <si>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</si>
  <si>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</si>
  <si>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</si>
  <si>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</si>
  <si>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</si>
  <si>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</si>
  <si>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</si>
  <si>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</si>
  <si>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</si>
  <si>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</si>
  <si>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</si>
  <si>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</si>
  <si>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</si>
  <si>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</si>
  <si>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</si>
  <si>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</si>
  <si>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</si>
  <si>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</si>
  <si>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</si>
  <si>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</si>
  <si>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</si>
  <si>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</si>
  <si>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</si>
  <si>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</si>
  <si>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</si>
  <si>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</si>
  <si>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</si>
  <si>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</si>
  <si>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</si>
  <si>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</si>
  <si>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</si>
  <si>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</si>
  <si>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</si>
  <si>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</si>
  <si>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</si>
  <si>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</si>
  <si>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</si>
  <si>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</si>
  <si>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</si>
  <si>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</si>
  <si>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</si>
  <si>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</si>
  <si>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</si>
  <si>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</si>
  <si>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</si>
  <si>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</si>
  <si>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</si>
  <si>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</si>
  <si>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</si>
  <si>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</si>
  <si>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</si>
  <si>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</si>
  <si>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</si>
  <si>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</si>
  <si>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</si>
  <si>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</si>
  <si>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</si>
  <si>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</si>
  <si>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</si>
  <si>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</si>
  <si>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</si>
  <si>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</si>
  <si>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</si>
  <si>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</si>
  <si>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</si>
  <si>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</si>
  <si>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</si>
  <si>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</si>
  <si>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</si>
  <si>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</si>
  <si>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</si>
  <si>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</si>
  <si>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</si>
  <si>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</si>
  <si>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</si>
  <si>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</si>
  <si>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</si>
  <si>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</si>
  <si>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</si>
  <si>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</si>
  <si>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</si>
  <si>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</si>
  <si>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</si>
  <si>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</si>
  <si>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</si>
  <si>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</si>
  <si>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</si>
  <si>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</si>
  <si>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</si>
  <si>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</si>
  <si>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</si>
  <si>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</si>
  <si>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</si>
  <si>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</si>
  <si>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</si>
  <si>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</si>
  <si>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</si>
  <si>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</si>
  <si>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</si>
  <si>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</si>
  <si>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</si>
  <si>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</si>
  <si>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</si>
  <si>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</si>
  <si>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</si>
  <si>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</si>
  <si>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</si>
  <si>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</si>
  <si>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</si>
  <si>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</si>
  <si>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</si>
  <si>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</si>
  <si>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</si>
  <si>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</si>
  <si>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</si>
  <si>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</si>
  <si>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</si>
  <si>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</si>
  <si>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</si>
  <si>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</si>
  <si>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</si>
  <si>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</si>
  <si>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</si>
  <si>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</si>
  <si>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</si>
  <si>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</si>
  <si>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</si>
  <si>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</si>
  <si>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</si>
  <si>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</si>
  <si>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</si>
  <si>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</si>
  <si>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</si>
  <si>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</si>
  <si>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</si>
  <si>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</si>
  <si>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</si>
  <si>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</si>
  <si>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</si>
  <si>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</si>
  <si>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</si>
  <si>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</si>
  <si>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</si>
  <si>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</si>
  <si>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</si>
  <si>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</si>
  <si>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</si>
  <si>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</si>
  <si>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</si>
  <si>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</si>
  <si>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</si>
  <si>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</si>
  <si>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</si>
  <si>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</si>
  <si>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</si>
  <si>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</si>
  <si>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</si>
  <si>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</si>
  <si>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</si>
  <si>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</si>
  <si>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</si>
  <si>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</si>
  <si>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</si>
  <si>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</si>
  <si>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</si>
  <si>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</si>
  <si>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</si>
  <si>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</si>
  <si>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</si>
  <si>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</si>
  <si>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</si>
  <si>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</si>
  <si>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</si>
  <si>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</si>
  <si>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</si>
  <si>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</si>
  <si>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</si>
  <si>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</si>
  <si>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</si>
  <si>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</si>
  <si>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</si>
  <si>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</si>
  <si>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</si>
  <si>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</si>
  <si>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</si>
  <si>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</si>
  <si>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</si>
  <si>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</si>
  <si>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</si>
  <si>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</si>
  <si>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</si>
  <si>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</si>
  <si>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</si>
  <si>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</si>
  <si>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</si>
  <si>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</si>
  <si>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</si>
  <si>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</si>
  <si>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</si>
  <si>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</si>
  <si>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</si>
  <si>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</si>
  <si>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</si>
  <si>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</si>
  <si>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</si>
  <si>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</si>
  <si>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</si>
  <si>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</si>
  <si>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</si>
  <si>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</si>
  <si>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</si>
  <si>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</si>
  <si>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</si>
  <si>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</si>
  <si>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</si>
  <si>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</si>
  <si>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</si>
  <si>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</si>
  <si>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</si>
  <si>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</si>
  <si>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</si>
  <si>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</si>
  <si>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</si>
  <si>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</si>
  <si>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</si>
  <si>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</si>
  <si>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</si>
  <si>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</si>
  <si>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</si>
  <si>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</si>
  <si>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</si>
  <si>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</si>
  <si>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</si>
  <si>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</si>
  <si>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</si>
  <si>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</si>
  <si>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</si>
  <si>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</si>
  <si>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</si>
  <si>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</si>
  <si>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</si>
  <si>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</si>
  <si>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</si>
  <si>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</si>
  <si>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</si>
  <si>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</si>
  <si>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</si>
  <si>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</si>
  <si>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</si>
  <si>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</si>
  <si>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</si>
  <si>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</si>
  <si>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</si>
  <si>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</si>
  <si>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</si>
  <si>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</si>
  <si>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</si>
  <si>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</si>
  <si>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</si>
  <si>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</si>
  <si>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</si>
  <si>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</si>
  <si>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</si>
  <si>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</si>
  <si>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</si>
  <si>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</si>
  <si>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</si>
  <si>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</si>
  <si>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</si>
  <si>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</si>
  <si>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</si>
  <si>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</si>
  <si>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</si>
  <si>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</si>
  <si>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</si>
  <si>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</si>
  <si>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</si>
  <si>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</si>
  <si>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</si>
  <si>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</si>
  <si>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</si>
  <si>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</si>
  <si>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</si>
  <si>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</si>
  <si>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</si>
  <si>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</si>
  <si>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</si>
  <si>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</si>
  <si>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</si>
  <si>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</si>
  <si>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</si>
  <si>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</si>
  <si>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</si>
  <si>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</si>
  <si>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</si>
  <si>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</si>
  <si>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</si>
  <si>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</si>
  <si>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</si>
  <si>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</si>
  <si>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</si>
  <si>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</si>
  <si>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</si>
  <si>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</si>
  <si>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</si>
  <si>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</si>
  <si>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</si>
  <si>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</si>
  <si>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</si>
  <si>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</si>
  <si>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</si>
  <si>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</si>
  <si>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</si>
  <si>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</si>
  <si>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</si>
  <si>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</si>
  <si>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</si>
  <si>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</si>
  <si>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</si>
  <si>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</si>
  <si>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</si>
  <si>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</si>
  <si>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</si>
  <si>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</si>
  <si>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</si>
  <si>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</si>
  <si>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</si>
  <si>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</si>
  <si>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</si>
  <si>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</si>
  <si>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</si>
  <si>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</si>
  <si>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</si>
  <si>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</si>
  <si>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</si>
  <si>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</si>
  <si>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</si>
  <si>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</si>
  <si>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</si>
  <si>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</si>
  <si>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</si>
  <si>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</si>
  <si>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</si>
  <si>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</si>
  <si>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</si>
  <si>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</si>
  <si>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</si>
  <si>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</si>
  <si>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</si>
  <si>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</si>
  <si>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</si>
  <si>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</si>
  <si>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</si>
  <si>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</si>
  <si>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</si>
  <si>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</si>
  <si>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</si>
  <si>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</si>
  <si>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</si>
  <si>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</si>
  <si>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</si>
  <si>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</si>
  <si>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</si>
  <si>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</si>
  <si>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</si>
  <si>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</si>
  <si>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</si>
  <si>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</si>
  <si>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</si>
  <si>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</si>
  <si>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</si>
  <si>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</si>
  <si>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</si>
  <si>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</si>
  <si>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</si>
  <si>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</si>
  <si>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</si>
  <si>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</si>
  <si>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</si>
  <si>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</si>
  <si>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</si>
  <si>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</si>
  <si>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</si>
  <si>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</si>
  <si>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</si>
  <si>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</si>
  <si>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</si>
  <si>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</si>
  <si>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</si>
  <si>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</si>
  <si>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</si>
  <si>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</si>
  <si>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</si>
  <si>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</si>
  <si>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</si>
  <si>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</si>
  <si>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</si>
  <si>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</si>
  <si>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</si>
  <si>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</si>
  <si>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</si>
  <si>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</si>
  <si>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</si>
  <si>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</si>
  <si>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</si>
  <si>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</si>
  <si>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</si>
  <si>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</si>
  <si>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</si>
  <si>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</si>
  <si>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</si>
  <si>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</si>
  <si>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</si>
  <si>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</si>
  <si>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</si>
  <si>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</si>
  <si>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</si>
  <si>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</si>
  <si>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</si>
  <si>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</si>
  <si>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</si>
  <si>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</si>
  <si>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</si>
  <si>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</si>
  <si>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</si>
  <si>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</si>
  <si>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</si>
  <si>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</si>
  <si>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</si>
  <si>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</si>
  <si>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</si>
  <si>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</si>
  <si>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</si>
  <si>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</si>
  <si>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</si>
  <si>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</si>
  <si>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</si>
  <si>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</si>
  <si>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</si>
  <si>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</si>
  <si>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</si>
  <si>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</si>
  <si>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</si>
  <si>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</si>
  <si>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</si>
  <si>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</si>
  <si>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</si>
  <si>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</si>
  <si>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</si>
  <si>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</si>
  <si>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</si>
  <si>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</si>
  <si>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</si>
  <si>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</si>
  <si>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</si>
  <si>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</si>
  <si>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</si>
  <si>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</si>
  <si>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</si>
  <si>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</si>
  <si>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</si>
  <si>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</si>
  <si>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</si>
  <si>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</si>
  <si>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</si>
  <si>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</si>
  <si>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</si>
  <si>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</si>
  <si>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</si>
  <si>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</si>
  <si>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</si>
  <si>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</si>
  <si>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</si>
  <si>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</si>
  <si>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</si>
  <si>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</si>
  <si>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</si>
  <si>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</si>
  <si>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</si>
  <si>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</si>
  <si>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</si>
  <si>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</si>
  <si>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</si>
  <si>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</si>
  <si>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</si>
  <si>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</si>
  <si>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</si>
  <si>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</si>
  <si>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</si>
  <si>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</si>
  <si>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</si>
  <si>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</si>
  <si>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</si>
  <si>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</si>
  <si>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</si>
  <si>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</si>
  <si>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</si>
  <si>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</si>
  <si>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</si>
  <si>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</si>
  <si>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</si>
  <si>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</si>
  <si>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</si>
  <si>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</si>
  <si>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</si>
  <si>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</si>
  <si>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</si>
  <si>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</si>
  <si>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</si>
  <si>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</si>
  <si>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</si>
  <si>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</si>
  <si>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</si>
  <si>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</si>
  <si>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</si>
  <si>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</si>
  <si>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</si>
  <si>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</si>
  <si>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</si>
  <si>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</si>
  <si>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</si>
  <si>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</si>
  <si>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</si>
  <si>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</si>
  <si>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</si>
  <si>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</si>
  <si>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</si>
  <si>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</si>
  <si>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</si>
  <si>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</si>
  <si>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</si>
  <si>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</si>
  <si>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</si>
  <si>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</si>
  <si>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</si>
  <si>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</si>
  <si>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</si>
  <si>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</si>
  <si>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</si>
  <si>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</si>
  <si>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</si>
  <si>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</si>
  <si>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</si>
  <si>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</si>
  <si>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</si>
  <si>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</si>
  <si>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</si>
  <si>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</si>
  <si>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</si>
  <si>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</si>
  <si>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</si>
  <si>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</si>
  <si>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</si>
  <si>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</si>
  <si>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</si>
  <si>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</si>
  <si>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</si>
  <si>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</si>
  <si>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</si>
  <si>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</si>
  <si>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</si>
  <si>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</si>
  <si>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</si>
  <si>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</si>
  <si>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</si>
  <si>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</si>
  <si>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</si>
  <si>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</si>
  <si>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</si>
  <si>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</si>
  <si>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</si>
  <si>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</si>
  <si>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</si>
  <si>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</si>
  <si>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</si>
  <si>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</si>
  <si>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</si>
  <si>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</si>
  <si>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</si>
  <si>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</si>
  <si>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</si>
  <si>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</si>
  <si>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</si>
  <si>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</si>
  <si>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</si>
  <si>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</si>
  <si>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</si>
  <si>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</si>
  <si>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</si>
  <si>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</si>
  <si>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</si>
  <si>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</si>
  <si>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</si>
  <si>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</si>
  <si>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</si>
  <si>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</si>
  <si>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</si>
  <si>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</si>
  <si>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</si>
  <si>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</si>
  <si>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</si>
  <si>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</si>
  <si>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</si>
  <si>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</si>
  <si>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</si>
  <si>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</si>
  <si>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</si>
  <si>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</si>
  <si>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</si>
  <si>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</si>
  <si>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</si>
  <si>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</si>
  <si>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</si>
  <si>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</si>
  <si>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</si>
  <si>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</si>
  <si>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</si>
  <si>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</si>
  <si>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</si>
  <si>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</si>
  <si>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</si>
  <si>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</si>
  <si>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</si>
  <si>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</si>
  <si>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</si>
  <si>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</si>
  <si>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</si>
  <si>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</si>
  <si>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</si>
  <si>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</si>
  <si>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</si>
  <si>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</si>
  <si>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</si>
  <si>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</si>
  <si>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</si>
  <si>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</si>
  <si>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</si>
  <si>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</si>
  <si>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</si>
  <si>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</si>
  <si>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</si>
  <si>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</si>
  <si>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</si>
  <si>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</si>
  <si>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</si>
  <si>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</si>
  <si>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</si>
  <si>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</si>
  <si>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</si>
  <si>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</si>
  <si>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</si>
  <si>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</si>
  <si>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</si>
  <si>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</si>
  <si>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</si>
  <si>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</si>
  <si>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</si>
  <si>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</si>
  <si>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</si>
  <si>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</si>
  <si>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</si>
  <si>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</si>
  <si>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</si>
  <si>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</si>
  <si>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</si>
  <si>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</si>
  <si>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</si>
  <si>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</si>
  <si>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</si>
  <si>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</si>
  <si>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</si>
  <si>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</si>
  <si>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</si>
  <si>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</si>
  <si>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</si>
  <si>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</si>
  <si>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</si>
  <si>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</si>
  <si>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</si>
  <si>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</si>
  <si>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</si>
  <si>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</si>
  <si>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</si>
  <si>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</si>
  <si>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</si>
  <si>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</si>
  <si>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</si>
  <si>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</si>
  <si>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</si>
  <si>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</si>
  <si>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</si>
  <si>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</si>
  <si>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</si>
  <si>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</si>
  <si>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</si>
  <si>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</si>
  <si>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</si>
  <si>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</si>
  <si>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</si>
  <si>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</si>
  <si>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</si>
  <si>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</si>
  <si>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</si>
  <si>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</si>
  <si>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</si>
  <si>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</si>
  <si>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</si>
  <si>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</si>
  <si>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</si>
  <si>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</si>
  <si>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</si>
  <si>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</si>
  <si>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</si>
  <si>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</si>
  <si>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</si>
  <si>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</si>
  <si>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</si>
  <si>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</si>
  <si>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</si>
  <si>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</si>
  <si>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</si>
  <si>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</si>
  <si>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</si>
  <si>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</si>
  <si>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</si>
  <si>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</si>
  <si>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</si>
  <si>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</si>
  <si>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</si>
  <si>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</si>
  <si>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</si>
  <si>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</si>
  <si>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</si>
  <si>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</si>
  <si>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</si>
  <si>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</si>
  <si>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</si>
  <si>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</si>
  <si>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</si>
  <si>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</si>
  <si>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</si>
  <si>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</si>
  <si>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</si>
  <si>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</si>
  <si>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</si>
  <si>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</si>
  <si>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</si>
  <si>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</si>
  <si>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</si>
  <si>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</si>
  <si>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</si>
  <si>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</si>
  <si>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</si>
  <si>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</si>
  <si>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</si>
  <si>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</si>
  <si>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</si>
  <si>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</si>
  <si>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</si>
  <si>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</si>
  <si>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</si>
  <si>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</si>
  <si>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</si>
  <si>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</si>
  <si>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</si>
  <si>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</si>
  <si>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</si>
  <si>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</si>
  <si>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</si>
  <si>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</si>
  <si>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</si>
  <si>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</si>
  <si>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</si>
  <si>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</si>
  <si>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</si>
  <si>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</si>
  <si>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</si>
  <si>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</si>
  <si>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</si>
  <si>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</si>
  <si>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</si>
  <si>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</si>
  <si>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</si>
  <si>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</si>
  <si>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</si>
  <si>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</si>
  <si>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</si>
  <si>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</si>
  <si>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</si>
  <si>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</si>
  <si>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</si>
  <si>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</si>
  <si>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</si>
  <si>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</si>
  <si>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</si>
  <si>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</si>
  <si>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</si>
  <si>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</si>
  <si>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</si>
  <si>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</si>
  <si>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</si>
  <si>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</si>
  <si>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</si>
  <si>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</si>
  <si>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</si>
  <si>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</si>
  <si>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</si>
  <si>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</si>
  <si>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</si>
  <si>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</si>
  <si>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</si>
  <si>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</si>
  <si>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</si>
  <si>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</si>
  <si>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</si>
  <si>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</si>
  <si>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</si>
  <si>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</si>
  <si>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</si>
  <si>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</si>
  <si>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</si>
  <si>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</si>
  <si>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</si>
  <si>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</si>
  <si>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</si>
  <si>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</si>
  <si>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</si>
  <si>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</si>
  <si>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</si>
  <si>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</si>
  <si>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</si>
  <si>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</si>
  <si>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</si>
  <si>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</si>
  <si>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</si>
  <si>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</si>
  <si>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</si>
  <si>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</si>
  <si>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</si>
  <si>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</si>
  <si>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</si>
  <si>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</si>
  <si>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</si>
  <si>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</si>
  <si>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</si>
  <si>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</si>
  <si>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</si>
  <si>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</si>
  <si>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</si>
  <si>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</si>
  <si>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</si>
  <si>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</si>
  <si>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</si>
  <si>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</si>
  <si>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</si>
  <si>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</si>
  <si>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</si>
  <si>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</si>
  <si>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</si>
  <si>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</si>
  <si>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</si>
  <si>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</si>
  <si>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</si>
  <si>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</si>
  <si>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</si>
  <si>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</si>
  <si>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</si>
  <si>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</si>
  <si>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</si>
  <si>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</si>
  <si>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</si>
  <si>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</si>
  <si>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</si>
  <si>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</si>
  <si>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</si>
  <si>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</si>
  <si>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</si>
  <si>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</si>
  <si>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</si>
  <si>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</si>
  <si>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</si>
  <si>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</si>
  <si>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</si>
  <si>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</si>
  <si>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</si>
  <si>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</si>
  <si>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</si>
  <si>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</si>
  <si>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</si>
  <si>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</si>
  <si>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</si>
  <si>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</si>
  <si>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</si>
  <si>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</si>
  <si>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</si>
  <si>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</si>
  <si>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</si>
  <si>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</si>
  <si>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</si>
  <si>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</si>
  <si>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</si>
  <si>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</si>
  <si>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</si>
  <si>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</si>
  <si>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</si>
  <si>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</si>
  <si>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</si>
  <si>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</si>
  <si>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</si>
  <si>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</si>
  <si>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</si>
  <si>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</si>
  <si>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</si>
  <si>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</si>
  <si>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</si>
  <si>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</si>
  <si>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</si>
  <si>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</si>
  <si>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</si>
  <si>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</si>
  <si>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</si>
  <si>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</si>
  <si>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</si>
  <si>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</si>
  <si>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</si>
  <si>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</si>
  <si>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</si>
  <si>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</si>
  <si>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</si>
  <si>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</si>
  <si>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</si>
  <si>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</si>
  <si>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</si>
  <si>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</si>
  <si>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</si>
  <si>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</si>
  <si>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</si>
  <si>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</si>
  <si>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</si>
  <si>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</si>
  <si>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</si>
  <si>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</si>
  <si>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</si>
  <si>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</si>
  <si>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</si>
  <si>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</si>
  <si>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</si>
  <si>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</si>
  <si>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</si>
  <si>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</si>
  <si>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</si>
  <si>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</si>
  <si>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</si>
  <si>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</si>
  <si>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</si>
  <si>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</si>
  <si>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</si>
  <si>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</si>
  <si>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</si>
  <si>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</si>
  <si>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</si>
  <si>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</si>
  <si>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</si>
  <si>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</si>
  <si>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</si>
  <si>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</si>
  <si>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</si>
  <si>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</si>
  <si>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</si>
  <si>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</si>
  <si>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</si>
  <si>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</si>
  <si>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</si>
  <si>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</si>
  <si>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</si>
  <si>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</si>
  <si>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</si>
  <si>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</si>
  <si>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</si>
  <si>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</si>
  <si>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</si>
  <si>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</si>
  <si>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</si>
  <si>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</si>
  <si>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</si>
  <si>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</si>
  <si>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</si>
  <si>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</si>
  <si>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</si>
  <si>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</si>
  <si>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</si>
  <si>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</si>
  <si>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</si>
  <si>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</si>
  <si>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</si>
  <si>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</si>
  <si>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</si>
  <si>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</si>
  <si>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</si>
  <si>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</si>
  <si>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</si>
  <si>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</si>
  <si>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</si>
  <si>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</si>
  <si>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</si>
  <si>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</si>
  <si>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</si>
  <si>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</si>
  <si>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</si>
  <si>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</si>
  <si>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</si>
  <si>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</si>
  <si>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</si>
  <si>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</si>
  <si>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</si>
  <si>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</si>
  <si>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</si>
  <si>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</si>
  <si>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</si>
  <si>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</si>
  <si>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</si>
  <si>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</si>
  <si>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</si>
  <si>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</si>
  <si>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</si>
  <si>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</si>
  <si>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</si>
  <si>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</si>
  <si>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</si>
  <si>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</si>
  <si>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</si>
  <si>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</si>
  <si>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</si>
  <si>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</si>
  <si>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</si>
  <si>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</si>
  <si>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</si>
  <si>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</si>
  <si>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</si>
  <si>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</si>
  <si>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</si>
  <si>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</si>
  <si>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</si>
  <si>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</si>
  <si>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</si>
  <si>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</si>
  <si>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</si>
  <si>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</si>
  <si>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</si>
  <si>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</si>
  <si>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</si>
  <si>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</si>
  <si>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</si>
  <si>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</si>
  <si>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</si>
  <si>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</si>
  <si>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</si>
  <si>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</si>
  <si>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</si>
  <si>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</si>
  <si>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</si>
  <si>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</si>
  <si>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</si>
  <si>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</si>
  <si>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</si>
  <si>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</si>
  <si>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</si>
  <si>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</si>
  <si>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</si>
  <si>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</si>
  <si>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</si>
  <si>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</si>
  <si>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</si>
  <si>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</si>
  <si>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</si>
  <si>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</si>
  <si>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</si>
  <si>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</si>
  <si>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</si>
  <si>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</si>
  <si>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</si>
  <si>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</si>
  <si>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</si>
  <si>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</si>
  <si>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</si>
  <si>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</si>
  <si>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</si>
  <si>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</si>
  <si>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</si>
  <si>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</si>
  <si>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</si>
  <si>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</si>
  <si>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</si>
  <si>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</si>
  <si>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</si>
  <si>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</si>
  <si>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</si>
  <si>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</si>
  <si>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</si>
  <si>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</si>
  <si>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</si>
  <si>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</si>
  <si>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</si>
  <si>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</si>
  <si>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</si>
  <si>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</si>
  <si>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</si>
  <si>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</si>
  <si>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</si>
  <si>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</si>
  <si>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</si>
  <si>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</si>
  <si>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</si>
  <si>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</si>
  <si>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</si>
  <si>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</si>
  <si>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</si>
  <si>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</si>
  <si>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</si>
  <si>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</si>
  <si>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</si>
  <si>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</si>
  <si>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</si>
  <si>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</si>
  <si>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</si>
  <si>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</si>
  <si>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</si>
  <si>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</si>
  <si>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</si>
  <si>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</si>
  <si>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</si>
  <si>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</si>
  <si>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</si>
  <si>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</si>
  <si>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</si>
  <si>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</si>
  <si>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</si>
  <si>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</si>
  <si>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</si>
  <si>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</si>
  <si>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</si>
  <si>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</si>
  <si>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</si>
  <si>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</si>
  <si>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</si>
  <si>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</si>
  <si>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</si>
  <si>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</si>
  <si>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</si>
  <si>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</si>
  <si>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</si>
  <si>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</si>
  <si>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</si>
  <si>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</si>
  <si>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</si>
  <si>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</si>
  <si>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</si>
  <si>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</si>
  <si>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</si>
  <si>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</si>
  <si>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</si>
  <si>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</si>
  <si>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</si>
  <si>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</si>
  <si>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</si>
  <si>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</si>
  <si>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</si>
  <si>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</si>
  <si>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</si>
  <si>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</si>
  <si>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</si>
  <si>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</si>
  <si>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</si>
  <si>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</si>
  <si>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</si>
  <si>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</si>
  <si>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</si>
  <si>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</si>
  <si>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</si>
  <si>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</si>
  <si>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</si>
  <si>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</si>
  <si>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</si>
  <si>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</si>
  <si>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</si>
  <si>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</si>
  <si>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</si>
  <si>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</si>
  <si>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</si>
  <si>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</si>
  <si>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</si>
  <si>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</si>
  <si>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</si>
  <si>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</si>
  <si>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</si>
  <si>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</si>
  <si>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</si>
  <si>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</si>
  <si>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</si>
  <si>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</si>
  <si>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</si>
  <si>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</si>
  <si>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</si>
  <si>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</si>
  <si>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</si>
  <si>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</si>
  <si>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</si>
  <si>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</si>
  <si>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</si>
  <si>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</si>
  <si>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</si>
  <si>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</si>
  <si>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</si>
  <si>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</si>
  <si>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</si>
  <si>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</si>
  <si>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</si>
  <si>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</si>
  <si>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</si>
  <si>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</si>
  <si>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</si>
  <si>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</si>
  <si>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</si>
  <si>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</si>
  <si>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</si>
  <si>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</si>
  <si>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</si>
  <si>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</si>
  <si>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</si>
  <si>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</si>
  <si>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</si>
  <si>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</si>
  <si>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</si>
  <si>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</si>
  <si>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</si>
  <si>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</si>
  <si>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</si>
  <si>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</si>
  <si>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</si>
  <si>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</si>
  <si>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</si>
  <si>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</si>
  <si>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</si>
  <si>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</si>
  <si>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</si>
  <si>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</si>
  <si>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</si>
  <si>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</si>
  <si>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</si>
  <si>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</si>
  <si>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</si>
  <si>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</si>
  <si>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</si>
  <si>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</si>
  <si>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</si>
  <si>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</si>
  <si>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</si>
  <si>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</si>
  <si>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</si>
  <si>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</si>
  <si>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</si>
  <si>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</si>
  <si>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</si>
  <si>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</si>
  <si>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</si>
  <si>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</si>
  <si>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</si>
  <si>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</si>
  <si>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</si>
  <si>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</si>
  <si>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</si>
  <si>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</si>
  <si>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</si>
  <si>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</si>
  <si>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</si>
  <si>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</si>
  <si>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</si>
  <si>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</si>
  <si>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</si>
  <si>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</si>
  <si>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</si>
  <si>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</si>
  <si>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</si>
  <si>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</si>
  <si>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</si>
  <si>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</si>
  <si>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</si>
  <si>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</si>
  <si>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</si>
  <si>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</si>
  <si>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</si>
  <si>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</si>
  <si>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</si>
  <si>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</si>
  <si>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</si>
  <si>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</si>
  <si>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</si>
  <si>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</si>
  <si>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</si>
  <si>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</si>
  <si>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</si>
  <si>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</si>
  <si>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</si>
  <si>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</si>
  <si>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</si>
  <si>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</si>
  <si>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</si>
  <si>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</si>
  <si>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</si>
  <si>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</si>
  <si>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</si>
  <si>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</si>
  <si>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</si>
  <si>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</si>
  <si>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</si>
  <si>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</si>
  <si>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</si>
  <si>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</si>
  <si>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</si>
  <si>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</si>
  <si>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</si>
  <si>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</si>
  <si>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</si>
  <si>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</si>
  <si>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</si>
  <si>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</si>
  <si>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</si>
  <si>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</si>
  <si>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</si>
  <si>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</si>
  <si>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</si>
  <si>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</si>
  <si>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</si>
  <si>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</si>
  <si>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</si>
  <si>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</si>
  <si>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</si>
  <si>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</si>
  <si>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</si>
  <si>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</si>
  <si>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</si>
  <si>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</si>
  <si>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</si>
  <si>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</si>
  <si>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</si>
  <si>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</si>
  <si>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</si>
  <si>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</si>
  <si>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</si>
  <si>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</si>
  <si>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</si>
  <si>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</si>
  <si>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</si>
  <si>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</si>
  <si>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</si>
  <si>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</si>
  <si>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</si>
  <si>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</si>
  <si>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</si>
  <si>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</si>
  <si>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</si>
  <si>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</si>
  <si>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</si>
  <si>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</si>
  <si>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</si>
  <si>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</si>
  <si>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</si>
  <si>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</si>
  <si>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</si>
  <si>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</si>
  <si>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</si>
  <si>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</si>
  <si>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</si>
  <si>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</si>
  <si>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</si>
  <si>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</si>
  <si>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</si>
  <si>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</si>
  <si>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</si>
  <si>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</si>
  <si>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</si>
  <si>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</si>
  <si>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</si>
  <si>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</si>
  <si>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</si>
  <si>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</si>
  <si>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</si>
  <si>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</si>
  <si>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</si>
  <si>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</si>
  <si>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</si>
  <si>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</si>
  <si>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</si>
  <si>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</si>
  <si>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</si>
  <si>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</si>
  <si>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</si>
  <si>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</si>
  <si>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</si>
  <si>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</si>
  <si>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</si>
  <si>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</si>
  <si>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</si>
  <si>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</si>
  <si>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</si>
  <si>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</si>
  <si>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</si>
  <si>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</si>
  <si>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</si>
  <si>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</si>
  <si>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</si>
  <si>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</si>
  <si>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</si>
  <si>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</si>
  <si>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</si>
  <si>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</si>
  <si>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</si>
  <si>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</si>
  <si>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</si>
  <si>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</si>
  <si>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</si>
  <si>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</si>
  <si>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</si>
  <si>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</si>
  <si>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</si>
  <si>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</si>
  <si>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</si>
  <si>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</si>
  <si>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</si>
  <si>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</si>
  <si>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</si>
  <si>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</si>
  <si>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</si>
  <si>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</si>
  <si>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</si>
  <si>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</si>
  <si>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</si>
  <si>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</si>
  <si>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</si>
  <si>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</si>
  <si>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</si>
  <si>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</si>
  <si>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</si>
  <si>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</si>
  <si>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</si>
  <si>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</si>
  <si>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</si>
  <si>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</si>
  <si>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</si>
  <si>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</si>
  <si>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</si>
  <si>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</si>
  <si>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</si>
  <si>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</si>
  <si>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</si>
  <si>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</si>
  <si>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</si>
  <si>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</si>
  <si>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</si>
  <si>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</si>
  <si>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</si>
  <si>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</si>
  <si>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</si>
  <si>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</si>
  <si>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</si>
  <si>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</si>
  <si>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</si>
  <si>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</si>
  <si>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</si>
  <si>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</si>
  <si>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</si>
  <si>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</si>
  <si>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</si>
  <si>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</si>
  <si>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</si>
  <si>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</si>
  <si>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</si>
  <si>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</si>
  <si>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</si>
  <si>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</si>
  <si>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</si>
  <si>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</si>
  <si>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</si>
  <si>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</si>
  <si>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</si>
  <si>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</si>
  <si>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</si>
  <si>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</si>
  <si>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</si>
  <si>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</si>
  <si>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</si>
  <si>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</si>
  <si>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</si>
  <si>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</si>
  <si>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</si>
  <si>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</si>
  <si>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</si>
  <si>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</si>
  <si>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</si>
  <si>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</si>
  <si>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</si>
  <si>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</si>
  <si>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</si>
  <si>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</si>
  <si>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</si>
  <si>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</si>
  <si>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</si>
  <si>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</si>
  <si>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</si>
  <si>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</si>
  <si>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</si>
  <si>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</si>
  <si>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</si>
  <si>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</si>
  <si>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</si>
  <si>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</si>
  <si>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</si>
  <si>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</si>
  <si>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</si>
  <si>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</si>
  <si>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</si>
  <si>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</si>
  <si>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</si>
  <si>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</si>
  <si>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</si>
  <si>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</si>
  <si>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</si>
  <si>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</si>
  <si>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</si>
  <si>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</si>
  <si>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</si>
  <si>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</si>
  <si>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</si>
  <si>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</si>
  <si>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</si>
  <si>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</si>
  <si>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</si>
  <si>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</si>
  <si>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</si>
  <si>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</si>
  <si>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</si>
  <si>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</si>
  <si>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</si>
  <si>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</si>
  <si>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</si>
  <si>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</si>
  <si>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</si>
  <si>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</si>
  <si>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</si>
  <si>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</si>
  <si>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</si>
  <si>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</si>
  <si>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</si>
  <si>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</si>
  <si>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</si>
  <si>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</si>
  <si>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</si>
  <si>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</si>
  <si>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</si>
  <si>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</si>
  <si>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</si>
  <si>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</si>
  <si>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</si>
  <si>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</si>
  <si>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</si>
  <si>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</si>
  <si>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</si>
  <si>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</si>
  <si>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</si>
  <si>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</si>
  <si>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</si>
  <si>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</si>
  <si>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</si>
  <si>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</si>
  <si>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</si>
  <si>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</si>
  <si>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</si>
  <si>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</si>
  <si>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</si>
  <si>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</si>
  <si>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</si>
  <si>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</si>
  <si>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</si>
  <si>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</si>
  <si>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</si>
  <si>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</si>
  <si>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</si>
  <si>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</si>
  <si>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</si>
  <si>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</si>
  <si>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</si>
  <si>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</si>
  <si>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</si>
  <si>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</si>
  <si>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</si>
  <si>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</si>
  <si>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</si>
  <si>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</si>
  <si>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</si>
  <si>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</si>
  <si>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</si>
  <si>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</si>
  <si>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</si>
  <si>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</si>
  <si>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</si>
  <si>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</si>
  <si>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</si>
  <si>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</si>
  <si>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</si>
  <si>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</si>
  <si>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</si>
  <si>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</si>
  <si>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</si>
  <si>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</si>
  <si>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</si>
  <si>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</si>
  <si>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</si>
  <si>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</si>
  <si>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</si>
  <si>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</si>
  <si>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</si>
  <si>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</si>
  <si>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</si>
  <si>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</si>
  <si>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</si>
  <si>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</si>
  <si>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</si>
  <si>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</si>
  <si>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</si>
  <si>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</si>
  <si>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</si>
  <si>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</si>
  <si>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</si>
  <si>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</si>
  <si>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</si>
  <si>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</si>
  <si>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</si>
  <si>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</si>
  <si>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</si>
  <si>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</si>
  <si>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</si>
  <si>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</si>
  <si>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</si>
  <si>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</si>
  <si>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</si>
  <si>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</si>
  <si>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</si>
  <si>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</si>
  <si>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</si>
  <si>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</si>
  <si>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</si>
  <si>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</si>
  <si>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</si>
  <si>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</si>
  <si>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</si>
  <si>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</si>
  <si>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</si>
  <si>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</si>
  <si>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</si>
  <si>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</si>
  <si>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</si>
  <si>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</si>
  <si>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</si>
  <si>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</si>
  <si>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</si>
  <si>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</si>
  <si>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</si>
  <si>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</si>
  <si>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</si>
  <si>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</si>
  <si>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</si>
  <si>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</si>
  <si>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</si>
  <si>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</si>
  <si>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</si>
  <si>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</si>
  <si>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</si>
  <si>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</si>
  <si>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</si>
  <si>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</si>
  <si>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</si>
  <si>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</si>
  <si>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</si>
  <si>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</si>
  <si>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</si>
  <si>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</si>
  <si>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</si>
  <si>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</si>
  <si>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</si>
  <si>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</si>
  <si>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</si>
  <si>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</si>
  <si>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</si>
  <si>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</si>
  <si>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</si>
  <si>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</si>
  <si>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</si>
  <si>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</si>
  <si>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</si>
  <si>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</si>
  <si>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</si>
  <si>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</si>
  <si>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</si>
  <si>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</si>
  <si>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</si>
  <si>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</si>
  <si>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</si>
  <si>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</si>
  <si>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</si>
  <si>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</si>
  <si>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</si>
  <si>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</si>
  <si>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</si>
  <si>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</si>
  <si>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</si>
  <si>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</si>
  <si>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</si>
  <si>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</si>
  <si>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</si>
  <si>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</si>
  <si>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</si>
  <si>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</si>
  <si>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</si>
  <si>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</si>
  <si>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</si>
  <si>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</si>
  <si>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</si>
  <si>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</si>
  <si>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</si>
  <si>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</si>
  <si>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</si>
  <si>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</si>
  <si>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</si>
  <si>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</si>
  <si>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</si>
  <si>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</si>
  <si>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</si>
  <si>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</si>
  <si>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</si>
  <si>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</si>
  <si>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</si>
  <si>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</si>
  <si>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</si>
  <si>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</si>
  <si>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</si>
  <si>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</si>
  <si>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</si>
  <si>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</si>
  <si>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</si>
  <si>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</si>
  <si>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</si>
  <si>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</si>
  <si>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</si>
  <si>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</si>
  <si>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</si>
  <si>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</si>
  <si>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</si>
  <si>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</si>
  <si>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</si>
  <si>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</si>
  <si>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</si>
  <si>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</si>
  <si>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</si>
  <si>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</si>
  <si>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</si>
  <si>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</si>
  <si>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</si>
  <si>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</si>
  <si>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</si>
  <si>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</si>
  <si>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</si>
  <si>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</si>
  <si>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</si>
  <si>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</si>
  <si>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</si>
  <si>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</si>
  <si>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</si>
  <si>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</si>
  <si>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</si>
  <si>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</si>
  <si>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</si>
  <si>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</si>
  <si>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</si>
  <si>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</si>
  <si>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</si>
  <si>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</si>
  <si>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</si>
  <si>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</si>
  <si>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</si>
  <si>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</si>
  <si>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</si>
  <si>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</si>
  <si>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</si>
  <si>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</si>
  <si>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</si>
  <si>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</si>
  <si>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</si>
  <si>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</si>
  <si>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</si>
  <si>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</si>
  <si>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</si>
  <si>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</si>
  <si>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</si>
  <si>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</si>
  <si>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</si>
  <si>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</si>
  <si>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</si>
  <si>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</si>
  <si>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</si>
  <si>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</si>
  <si>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</si>
  <si>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</si>
  <si>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</si>
  <si>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</si>
  <si>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</si>
  <si>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</si>
  <si>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</si>
  <si>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</si>
  <si>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</si>
  <si>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</si>
  <si>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</si>
  <si>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</si>
  <si>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</si>
  <si>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</si>
  <si>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</si>
  <si>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</si>
  <si>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</si>
  <si>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</si>
  <si>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</si>
  <si>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</si>
  <si>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</si>
  <si>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</si>
  <si>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</si>
  <si>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</si>
  <si>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</si>
  <si>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</si>
  <si>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</si>
  <si>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</si>
  <si>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</si>
  <si>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</si>
  <si>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</si>
  <si>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</si>
  <si>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</si>
  <si>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</si>
  <si>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</si>
  <si>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</si>
  <si>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</si>
  <si>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</si>
  <si>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</si>
  <si>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</si>
  <si>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</si>
  <si>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</si>
  <si>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</si>
  <si>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</si>
  <si>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</si>
  <si>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</si>
  <si>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</si>
  <si>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</si>
  <si>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</si>
  <si>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</si>
  <si>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</si>
  <si>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</si>
  <si>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</si>
  <si>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</si>
  <si>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</si>
  <si>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</si>
  <si>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</si>
  <si>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</si>
  <si>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</si>
  <si>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</si>
  <si>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</si>
  <si>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</si>
  <si>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</si>
  <si>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</si>
  <si>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</si>
  <si>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</si>
  <si>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</si>
  <si>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</si>
  <si>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</si>
  <si>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</si>
  <si>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</si>
  <si>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</si>
  <si>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</si>
  <si>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</si>
  <si>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</si>
  <si>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</si>
  <si>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</si>
  <si>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</si>
  <si>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</si>
  <si>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</si>
  <si>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</si>
  <si>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</si>
  <si>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</si>
  <si>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</si>
  <si>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</si>
  <si>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</si>
  <si>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</si>
  <si>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</si>
  <si>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</si>
  <si>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</si>
  <si>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</si>
  <si>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</si>
  <si>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</si>
  <si>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</si>
  <si>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</si>
  <si>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</si>
  <si>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</si>
  <si>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</si>
  <si>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</si>
  <si>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</si>
  <si>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</si>
  <si>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</si>
  <si>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</si>
  <si>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</si>
  <si>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</si>
  <si>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</si>
  <si>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</si>
  <si>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</si>
  <si>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</si>
  <si>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</si>
  <si>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</si>
  <si>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</si>
  <si>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</si>
  <si>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</si>
  <si>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</si>
  <si>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</si>
  <si>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</si>
  <si>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</si>
  <si>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</si>
  <si>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</si>
  <si>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</si>
  <si>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</si>
  <si>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</si>
  <si>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</si>
  <si>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</si>
  <si>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</si>
  <si>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</si>
  <si>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</si>
  <si>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</si>
  <si>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</si>
  <si>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</si>
  <si>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</si>
  <si>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</si>
  <si>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</si>
  <si>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</si>
  <si>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</si>
  <si>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</si>
  <si>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</si>
  <si>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</si>
  <si>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</si>
  <si>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</si>
  <si>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</si>
  <si>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</si>
  <si>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</si>
  <si>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</si>
  <si>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</si>
  <si>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</si>
  <si>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</si>
  <si>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</si>
  <si>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</si>
  <si>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</si>
  <si>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</si>
  <si>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</si>
  <si>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</si>
  <si>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</si>
  <si>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</si>
  <si>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</si>
  <si>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</si>
  <si>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</si>
  <si>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</si>
  <si>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</si>
  <si>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</si>
  <si>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</si>
  <si>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</si>
  <si>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</si>
  <si>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</si>
  <si>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</si>
  <si>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</si>
  <si>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</si>
  <si>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</si>
  <si>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</si>
  <si>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</si>
  <si>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</si>
  <si>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</si>
  <si>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</si>
  <si>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</si>
  <si>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</si>
  <si>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</si>
  <si>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</si>
  <si>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</si>
  <si>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</si>
  <si>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</si>
  <si>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</si>
  <si>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</si>
  <si>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</si>
  <si>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</si>
  <si>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</si>
  <si>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</si>
  <si>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</si>
  <si>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</si>
  <si>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</si>
  <si>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</si>
  <si>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</si>
  <si>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</si>
  <si>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</si>
  <si>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</si>
  <si>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</si>
  <si>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</si>
  <si>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</si>
  <si>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</si>
  <si>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</si>
  <si>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</si>
  <si>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</si>
  <si>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</si>
  <si>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</si>
  <si>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</si>
  <si>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</si>
  <si>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</si>
  <si>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</si>
  <si>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</si>
  <si>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</si>
  <si>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</si>
  <si>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</si>
  <si>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</si>
  <si>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</si>
  <si>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</si>
  <si>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</si>
  <si>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</si>
  <si>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</si>
  <si>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</si>
  <si>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</si>
  <si>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</si>
  <si>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</si>
  <si>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</si>
  <si>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</si>
  <si>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</si>
  <si>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</si>
  <si>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</si>
  <si>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</si>
  <si>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</si>
  <si>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</si>
  <si>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</si>
  <si>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</si>
  <si>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</si>
  <si>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</si>
  <si>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</si>
  <si>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</si>
  <si>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</si>
  <si>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</si>
  <si>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</si>
  <si>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</si>
  <si>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</si>
  <si>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</si>
  <si>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</si>
  <si>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</si>
  <si>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</si>
  <si>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</si>
  <si>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</si>
  <si>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</si>
  <si>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</si>
  <si>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</si>
  <si>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</si>
  <si>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</si>
  <si>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</si>
  <si>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</si>
  <si>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</si>
  <si>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</si>
  <si>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</si>
  <si>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</si>
  <si>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</si>
  <si>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</si>
  <si>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</si>
  <si>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</si>
  <si>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</si>
  <si>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</si>
  <si>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</si>
  <si>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</si>
  <si>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</si>
  <si>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</si>
  <si>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</si>
  <si>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</si>
  <si>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</si>
  <si>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</si>
  <si>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</si>
  <si>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</si>
  <si>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</si>
  <si>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</si>
  <si>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</si>
  <si>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</si>
  <si>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</si>
  <si>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</si>
  <si>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</si>
  <si>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</si>
  <si>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</si>
  <si>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</si>
  <si>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</si>
  <si>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</si>
  <si>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</si>
  <si>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</si>
  <si>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</si>
  <si>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</si>
  <si>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</si>
  <si>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</si>
  <si>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</si>
  <si>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</si>
  <si>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</si>
  <si>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</si>
  <si>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</si>
  <si>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</si>
  <si>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</si>
  <si>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</si>
  <si>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</si>
  <si>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</si>
  <si>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</si>
  <si>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</si>
  <si>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</si>
  <si>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</si>
  <si>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</si>
  <si>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</si>
  <si>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</si>
  <si>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</si>
  <si>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</si>
  <si>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</si>
  <si>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</si>
  <si>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</si>
  <si>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</si>
  <si>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</si>
  <si>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</si>
  <si>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</si>
  <si>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</si>
  <si>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</si>
  <si>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</si>
  <si>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</si>
  <si>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</si>
  <si>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</si>
  <si>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</si>
  <si>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</si>
  <si>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</si>
  <si>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</si>
  <si>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</si>
  <si>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</si>
  <si>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</si>
  <si>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</si>
  <si>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</si>
  <si>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</si>
  <si>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</si>
  <si>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</si>
  <si>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</si>
  <si>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</si>
  <si>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</si>
  <si>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</si>
  <si>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</si>
  <si>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</si>
  <si>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</si>
  <si>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</si>
  <si>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</si>
  <si>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</si>
  <si>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</si>
  <si>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</si>
  <si>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</si>
  <si>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</si>
  <si>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</si>
  <si>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</si>
  <si>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</si>
  <si>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</si>
  <si>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</si>
  <si>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</si>
  <si>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</si>
  <si>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</si>
  <si>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</si>
  <si>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</si>
  <si>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</si>
  <si>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</si>
  <si>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</si>
  <si>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</si>
  <si>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</si>
  <si>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</si>
  <si>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</si>
  <si>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</si>
  <si>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</si>
  <si>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</si>
  <si>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</si>
  <si>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</si>
  <si>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</si>
  <si>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</si>
  <si>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</si>
  <si>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</si>
  <si>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</si>
  <si>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</si>
  <si>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</si>
  <si>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</si>
  <si>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</si>
  <si>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</si>
  <si>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</si>
  <si>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</si>
  <si>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</si>
  <si>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</si>
  <si>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</si>
  <si>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</si>
  <si>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</si>
  <si>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</si>
  <si>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</si>
  <si>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</si>
  <si>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</si>
  <si>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</si>
  <si>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</si>
  <si>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</si>
  <si>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</si>
  <si>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</si>
  <si>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</si>
  <si>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</si>
  <si>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</si>
  <si>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</si>
  <si>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</si>
  <si>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</si>
  <si>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</si>
  <si>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</si>
  <si>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</si>
  <si>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</si>
  <si>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</si>
  <si>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</si>
  <si>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</si>
  <si>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</si>
  <si>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</si>
  <si>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</si>
  <si>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</si>
  <si>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</si>
  <si>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</si>
  <si>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</si>
  <si>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</si>
  <si>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</si>
  <si>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</si>
  <si>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</si>
  <si>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</si>
  <si>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</si>
  <si>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</si>
  <si>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</si>
  <si>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</si>
  <si>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</si>
  <si>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</si>
  <si>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</si>
  <si>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</si>
  <si>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</si>
  <si>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</si>
  <si>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</si>
  <si>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</si>
  <si>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</si>
  <si>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</si>
  <si>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</si>
  <si>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</si>
  <si>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</si>
  <si>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</si>
  <si>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</si>
  <si>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</si>
  <si>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</si>
  <si>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</si>
  <si>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</si>
  <si>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</si>
  <si>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</si>
  <si>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</si>
  <si>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</si>
  <si>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</si>
  <si>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</si>
  <si>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</si>
  <si>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</si>
  <si>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</si>
  <si>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</si>
  <si>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</si>
  <si>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</si>
  <si>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</si>
  <si>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</si>
  <si>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</si>
  <si>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</si>
  <si>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</si>
  <si>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</si>
  <si>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</si>
  <si>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</si>
  <si>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</si>
  <si>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</si>
  <si>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</si>
  <si>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</si>
  <si>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</si>
  <si>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</si>
  <si>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</si>
  <si>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</si>
  <si>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</si>
  <si>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</si>
  <si>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</si>
  <si>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</si>
  <si>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</si>
  <si>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</si>
  <si>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</si>
  <si>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</si>
  <si>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</si>
  <si>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</si>
  <si>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</si>
  <si>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</si>
  <si>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</si>
  <si>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</si>
  <si>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</si>
  <si>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</si>
  <si>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</si>
  <si>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</si>
  <si>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</si>
  <si>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</si>
  <si>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</si>
  <si>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</si>
  <si>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</si>
  <si>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</si>
  <si>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</si>
  <si>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</si>
  <si>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</si>
  <si>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</si>
  <si>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</si>
  <si>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</si>
  <si>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</si>
  <si>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</si>
  <si>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</si>
  <si>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</si>
  <si>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</si>
  <si>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</si>
  <si>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</si>
  <si>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</si>
  <si>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</si>
  <si>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</si>
  <si>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</si>
  <si>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</si>
  <si>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</si>
  <si>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</si>
  <si>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</si>
  <si>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</si>
  <si>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</si>
  <si>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</si>
  <si>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</si>
  <si>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</si>
  <si>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</si>
  <si>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</si>
  <si>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</si>
  <si>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</si>
  <si>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</si>
  <si>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</si>
  <si>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</si>
  <si>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</si>
  <si>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</si>
  <si>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</si>
  <si>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</si>
  <si>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</si>
  <si>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</si>
  <si>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</si>
  <si>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</si>
  <si>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</si>
  <si>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</si>
  <si>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</si>
  <si>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</si>
  <si>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</si>
  <si>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</si>
  <si>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</si>
  <si>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</si>
  <si>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</si>
  <si>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</si>
  <si>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</si>
  <si>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</si>
  <si>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</si>
  <si>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</si>
  <si>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</si>
  <si>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</si>
  <si>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</si>
  <si>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</si>
  <si>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</si>
  <si>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</si>
  <si>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</si>
  <si>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</si>
  <si>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</si>
  <si>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</si>
  <si>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</si>
  <si>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</si>
  <si>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</si>
  <si>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</si>
  <si>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</si>
  <si>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</si>
  <si>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</si>
  <si>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</si>
  <si>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</si>
  <si>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</si>
  <si>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</si>
  <si>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</si>
  <si>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</si>
  <si>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</si>
  <si>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</si>
  <si>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</si>
  <si>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</si>
  <si>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</si>
  <si>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</si>
  <si>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</si>
  <si>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</si>
  <si>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</si>
  <si>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</si>
  <si>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</si>
  <si>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</si>
  <si>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</si>
  <si>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</si>
  <si>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</si>
  <si>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</si>
  <si>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</si>
  <si>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</si>
  <si>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</si>
  <si>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</si>
  <si>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</si>
  <si>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</si>
  <si>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</si>
  <si>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</si>
  <si>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</si>
  <si>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</si>
  <si>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</si>
  <si>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</si>
  <si>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</si>
  <si>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</si>
  <si>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</si>
  <si>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</si>
  <si>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</si>
  <si>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</si>
  <si>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</si>
  <si>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</si>
  <si>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</si>
  <si>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</si>
  <si>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</si>
  <si>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</si>
  <si>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</si>
  <si>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</si>
  <si>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</si>
  <si>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</si>
  <si>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</si>
  <si>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</si>
  <si>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</si>
  <si>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</si>
  <si>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</si>
  <si>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</si>
  <si>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</si>
  <si>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</si>
  <si>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</si>
  <si>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</si>
  <si>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</si>
  <si>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</si>
  <si>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</si>
  <si>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</si>
  <si>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</si>
  <si>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</si>
  <si>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</si>
  <si>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</si>
  <si>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</si>
  <si>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</si>
  <si>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</si>
  <si>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</si>
  <si>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</si>
  <si>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</si>
  <si>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</si>
  <si>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</si>
  <si>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</si>
  <si>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</si>
  <si>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</si>
  <si>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</si>
  <si>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</si>
  <si>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</si>
  <si>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</si>
  <si>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</si>
  <si>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</si>
  <si>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</si>
  <si>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</si>
  <si>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</si>
  <si>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</si>
  <si>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</si>
  <si>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</si>
  <si>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</si>
  <si>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</si>
  <si>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</si>
  <si>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</si>
  <si>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</si>
  <si>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</si>
  <si>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</si>
  <si>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</si>
  <si>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</si>
  <si>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</si>
  <si>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</si>
  <si>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</si>
  <si>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</si>
  <si>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</si>
  <si>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</si>
  <si>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</si>
  <si>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</si>
  <si>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</si>
  <si>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</si>
  <si>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</si>
  <si>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</si>
  <si>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</si>
  <si>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</si>
  <si>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</si>
  <si>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</si>
  <si>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</si>
  <si>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</si>
  <si>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</si>
  <si>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</si>
  <si>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</si>
  <si>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</si>
  <si>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</si>
  <si>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</si>
  <si>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</si>
  <si>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</si>
  <si>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</si>
  <si>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</si>
  <si>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</si>
  <si>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</si>
  <si>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</si>
  <si>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</si>
  <si>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</si>
  <si>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</si>
  <si>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</si>
  <si>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</si>
  <si>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</si>
  <si>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</si>
  <si>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</si>
  <si>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</si>
  <si>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</si>
  <si>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</si>
  <si>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</si>
  <si>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</si>
  <si>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</si>
  <si>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</si>
  <si>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</si>
  <si>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</si>
  <si>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</si>
  <si>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</si>
  <si>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</si>
  <si>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</si>
  <si>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</si>
  <si>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</si>
  <si>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</si>
  <si>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</si>
  <si>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</si>
  <si>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</si>
  <si>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</si>
  <si>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</si>
  <si>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</si>
  <si>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</si>
  <si>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</si>
  <si>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</si>
  <si>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</si>
  <si>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</si>
  <si>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</si>
  <si>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</si>
  <si>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</si>
  <si>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</si>
  <si>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</si>
  <si>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</si>
  <si>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</si>
  <si>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</si>
  <si>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</si>
  <si>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</si>
  <si>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</si>
  <si>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</si>
  <si>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</si>
  <si>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</si>
  <si>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</si>
  <si>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</si>
  <si>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</si>
  <si>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</si>
  <si>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</si>
  <si>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</si>
  <si>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</si>
  <si>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</si>
  <si>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</si>
  <si>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</si>
  <si>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</si>
  <si>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</si>
  <si>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</si>
  <si>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</si>
  <si>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</si>
  <si>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</si>
  <si>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</si>
  <si>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</si>
  <si>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</si>
  <si>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</si>
  <si>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</si>
  <si>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</si>
  <si>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</si>
  <si>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</si>
  <si>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</si>
  <si>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</si>
  <si>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</si>
  <si>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</si>
  <si>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</si>
  <si>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</si>
  <si>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</si>
  <si>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</si>
  <si>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</si>
  <si>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</si>
  <si>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</si>
  <si>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</si>
  <si>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</si>
  <si>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</si>
  <si>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</si>
  <si>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</si>
  <si>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</si>
  <si>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</si>
  <si>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</si>
  <si>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</si>
  <si>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</si>
  <si>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</si>
  <si>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</si>
  <si>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</si>
  <si>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</si>
  <si>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</si>
  <si>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</si>
  <si>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</si>
  <si>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</si>
  <si>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</si>
  <si>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</si>
  <si>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</si>
  <si>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</si>
  <si>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</si>
  <si>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</si>
  <si>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</si>
  <si>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</si>
  <si>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</si>
  <si>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</si>
  <si>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</si>
  <si>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</si>
  <si>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</si>
  <si>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</si>
  <si>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</si>
  <si>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</si>
  <si>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</si>
  <si>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</si>
  <si>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</si>
  <si>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</si>
  <si>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</si>
  <si>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</si>
  <si>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</si>
  <si>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</si>
  <si>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</si>
  <si>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</si>
  <si>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</si>
  <si>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</si>
  <si>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</si>
  <si>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</si>
  <si>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</si>
  <si>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</si>
  <si>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</si>
  <si>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</si>
  <si>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</si>
  <si>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</si>
  <si>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</si>
  <si>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</si>
  <si>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</si>
  <si>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</si>
  <si>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</si>
  <si>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</si>
  <si>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</si>
  <si>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</si>
  <si>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</si>
  <si>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</si>
  <si>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</si>
  <si>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</si>
  <si>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</si>
  <si>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</si>
  <si>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</si>
  <si>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</si>
  <si>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</si>
  <si>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</si>
  <si>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</si>
  <si>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</si>
  <si>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</si>
  <si>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</si>
  <si>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</si>
  <si>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</si>
  <si>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</si>
  <si>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</si>
  <si>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</si>
  <si>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</si>
  <si>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</si>
  <si>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</si>
  <si>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</si>
  <si>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</si>
  <si>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</si>
  <si>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</si>
  <si>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</si>
  <si>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</si>
  <si>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</si>
  <si>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</si>
  <si>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</si>
  <si>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</si>
  <si>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</si>
  <si>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</si>
  <si>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</si>
  <si>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</si>
  <si>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</si>
  <si>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</si>
  <si>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</si>
  <si>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</si>
  <si>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</si>
  <si>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</si>
  <si>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</si>
  <si>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</si>
  <si>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</si>
  <si>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</si>
  <si>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</si>
  <si>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</si>
  <si>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</si>
  <si>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</si>
  <si>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</si>
  <si>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</si>
  <si>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</si>
  <si>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</si>
  <si>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</si>
  <si>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</si>
  <si>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</si>
  <si>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</si>
  <si>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</si>
  <si>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</si>
  <si>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</si>
  <si>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</si>
  <si>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</si>
  <si>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</si>
  <si>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</si>
  <si>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</si>
  <si>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</si>
  <si>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</si>
  <si>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</si>
  <si>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</si>
  <si>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</si>
  <si>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</si>
  <si>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</si>
  <si>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</si>
  <si>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</si>
  <si>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</si>
  <si>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</si>
  <si>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</si>
  <si>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</si>
  <si>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</si>
  <si>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</si>
  <si>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</si>
  <si>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</si>
  <si>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</si>
  <si>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</si>
  <si>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</si>
  <si>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</si>
  <si>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</si>
  <si>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</si>
  <si>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</si>
  <si>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</si>
  <si>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</si>
  <si>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</si>
  <si>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</si>
  <si>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</si>
  <si>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</si>
  <si>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</si>
  <si>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</si>
  <si>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</si>
  <si>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</si>
  <si>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</si>
  <si>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</si>
  <si>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</si>
  <si>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</si>
  <si>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</si>
  <si>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</si>
  <si>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</si>
  <si>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</si>
  <si>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</si>
  <si>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</si>
  <si>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</si>
  <si>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</si>
  <si>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</si>
  <si>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</si>
  <si>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</si>
  <si>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</si>
  <si>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</si>
  <si>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</si>
  <si>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</si>
  <si>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</si>
  <si>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</si>
  <si>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</si>
  <si>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</si>
  <si>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</si>
  <si>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</si>
  <si>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</si>
  <si>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</si>
  <si>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</si>
  <si>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</si>
  <si>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</si>
  <si>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</si>
  <si>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</si>
  <si>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</si>
  <si>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</si>
  <si>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</si>
  <si>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</si>
  <si>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</si>
  <si>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</si>
  <si>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</si>
  <si>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</si>
  <si>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</si>
  <si>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</si>
  <si>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</si>
  <si>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</si>
  <si>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</si>
  <si>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</si>
  <si>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</si>
  <si>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</si>
  <si>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</si>
  <si>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</si>
  <si>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</si>
  <si>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</si>
  <si>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</si>
  <si>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</si>
  <si>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</si>
  <si>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</si>
  <si>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</si>
  <si>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</si>
  <si>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</si>
  <si>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</si>
  <si>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</si>
  <si>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</si>
  <si>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</si>
  <si>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</si>
  <si>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</si>
  <si>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</si>
  <si>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</si>
  <si>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</si>
  <si>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</si>
  <si>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</si>
  <si>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</si>
  <si>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</si>
  <si>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</si>
  <si>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</si>
  <si>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</si>
  <si>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</si>
  <si>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</si>
  <si>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</si>
  <si>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</si>
  <si>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</si>
  <si>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</si>
  <si>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</si>
  <si>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</si>
  <si>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</si>
  <si>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</si>
  <si>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</si>
  <si>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</si>
  <si>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</si>
  <si>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</si>
  <si>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</si>
  <si>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</si>
  <si>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</si>
  <si>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</si>
  <si>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</si>
  <si>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</si>
  <si>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</si>
  <si>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</si>
  <si>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</si>
  <si>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</si>
  <si>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</si>
  <si>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</si>
  <si>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</si>
  <si>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</si>
  <si>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</si>
  <si>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</si>
  <si>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</si>
  <si>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</si>
  <si>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</si>
  <si>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</si>
  <si>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</si>
  <si>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</si>
  <si>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</si>
  <si>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</si>
  <si>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</si>
  <si>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</si>
  <si>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</si>
  <si>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</si>
  <si>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</si>
  <si>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</si>
  <si>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</si>
  <si>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</si>
  <si>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</si>
  <si>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</si>
  <si>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</si>
  <si>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</si>
  <si>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</si>
  <si>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</si>
  <si>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</si>
  <si>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</si>
  <si>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</si>
  <si>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</si>
  <si>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</si>
  <si>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</si>
  <si>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</si>
  <si>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</si>
  <si>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</si>
  <si>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</si>
  <si>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</si>
  <si>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</si>
  <si>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</si>
  <si>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</si>
  <si>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</si>
  <si>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</si>
  <si>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</si>
  <si>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</si>
  <si>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</si>
  <si>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</si>
  <si>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</si>
  <si>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</si>
  <si>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</si>
  <si>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</si>
  <si>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</si>
  <si>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</si>
  <si>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</si>
  <si>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</si>
  <si>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</si>
  <si>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</si>
  <si>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</si>
  <si>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</si>
  <si>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</si>
  <si>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</si>
  <si>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</si>
  <si>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</si>
  <si>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</si>
  <si>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</si>
  <si>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</si>
  <si>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</si>
  <si>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</si>
  <si>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</si>
  <si>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</si>
  <si>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</si>
  <si>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</si>
  <si>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</si>
  <si>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</si>
  <si>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</si>
  <si>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</si>
  <si>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</si>
  <si>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</si>
  <si>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</si>
  <si>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</si>
  <si>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</si>
  <si>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</si>
  <si>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</si>
  <si>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</si>
  <si>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</si>
  <si>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</si>
  <si>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</si>
  <si>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</si>
  <si>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</si>
  <si>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</si>
  <si>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</si>
  <si>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</si>
  <si>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</si>
  <si>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</si>
  <si>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</si>
  <si>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</si>
  <si>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</si>
  <si>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</si>
  <si>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</si>
  <si>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</si>
  <si>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</si>
  <si>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</si>
  <si>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</si>
  <si>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</si>
  <si>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</si>
  <si>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</si>
  <si>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</si>
  <si>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</si>
  <si>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</si>
  <si>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</si>
  <si>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</si>
  <si>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</si>
  <si>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</si>
  <si>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</si>
  <si>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</si>
  <si>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</si>
  <si>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</si>
  <si>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</si>
  <si>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</si>
  <si>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</si>
  <si>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</si>
  <si>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</si>
  <si>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</si>
  <si>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</si>
  <si>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</si>
  <si>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</si>
  <si>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</si>
  <si>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</si>
  <si>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</si>
  <si>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</si>
  <si>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</si>
  <si>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</si>
  <si>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</si>
  <si>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</si>
  <si>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</si>
  <si>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</si>
  <si>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</si>
  <si>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</si>
  <si>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</si>
  <si>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</si>
  <si>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</si>
  <si>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</si>
  <si>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</si>
  <si>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</si>
  <si>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</si>
  <si>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</si>
  <si>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</si>
  <si>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</si>
  <si>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</si>
  <si>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</si>
  <si>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</si>
  <si>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</si>
  <si>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</si>
  <si>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</si>
  <si>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</si>
  <si>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</si>
  <si>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</si>
  <si>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</si>
  <si>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</si>
  <si>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</si>
  <si>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</si>
  <si>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</si>
  <si>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</si>
  <si>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</si>
  <si>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</si>
  <si>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</si>
  <si>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</si>
  <si>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</si>
  <si>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</si>
  <si>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</si>
  <si>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</si>
  <si>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</si>
  <si>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</si>
  <si>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</si>
  <si>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</si>
  <si>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</si>
  <si>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</si>
  <si>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</si>
  <si>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</si>
  <si>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</si>
  <si>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</si>
  <si>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</si>
  <si>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</si>
  <si>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</si>
  <si>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</si>
  <si>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</si>
  <si>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</si>
  <si>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</si>
  <si>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</si>
  <si>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</si>
  <si>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</si>
  <si>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</si>
  <si>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</si>
  <si>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</si>
  <si>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</si>
  <si>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</si>
  <si>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</si>
  <si>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</si>
  <si>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</si>
  <si>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</si>
  <si>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</si>
  <si>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</si>
  <si>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</si>
  <si>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</si>
  <si>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</si>
  <si>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</si>
  <si>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</si>
  <si>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</si>
  <si>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</si>
  <si>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</si>
  <si>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</si>
  <si>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</si>
  <si>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</si>
  <si>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</si>
  <si>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</si>
  <si>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</si>
  <si>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</si>
  <si>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</si>
  <si>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</si>
  <si>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</si>
  <si>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</si>
  <si>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</si>
  <si>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</si>
  <si>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</si>
  <si>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</si>
  <si>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</si>
  <si>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</si>
  <si>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</si>
  <si>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</si>
  <si>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</si>
  <si>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</si>
  <si>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</si>
  <si>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</si>
  <si>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</si>
  <si>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</si>
  <si>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</si>
  <si>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</si>
  <si>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</si>
  <si>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</si>
  <si>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</si>
  <si>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</si>
  <si>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</si>
  <si>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</si>
  <si>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</si>
  <si>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</si>
  <si>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</si>
  <si>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</si>
  <si>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</si>
  <si>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</si>
  <si>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</si>
  <si>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</si>
  <si>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</si>
  <si>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</si>
  <si>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</si>
  <si>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</si>
  <si>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</si>
  <si>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</si>
  <si>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</si>
  <si>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</si>
  <si>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</si>
  <si>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</si>
  <si>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</si>
  <si>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</si>
  <si>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</si>
  <si>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</si>
  <si>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</si>
  <si>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</si>
  <si>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</si>
  <si>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</si>
  <si>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</si>
  <si>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</si>
  <si>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</si>
  <si>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</si>
  <si>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</si>
  <si>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</si>
  <si>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</si>
  <si>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</si>
  <si>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</si>
  <si>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</si>
  <si>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</si>
  <si>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</si>
  <si>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</si>
  <si>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</si>
  <si>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</si>
  <si>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</si>
  <si>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</si>
  <si>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</si>
  <si>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</si>
  <si>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</si>
  <si>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</si>
  <si>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</si>
  <si>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</si>
  <si>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</si>
  <si>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</si>
  <si>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</si>
  <si>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</si>
  <si>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</si>
  <si>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</si>
  <si>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</si>
  <si>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</si>
  <si>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</si>
  <si>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</si>
  <si>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</si>
  <si>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</si>
  <si>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</si>
  <si>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</si>
  <si>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</si>
  <si>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</si>
  <si>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</si>
  <si>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</si>
  <si>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</si>
  <si>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</si>
  <si>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</si>
  <si>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</si>
  <si>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</si>
  <si>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</si>
  <si>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</si>
  <si>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</si>
  <si>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</si>
  <si>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</si>
  <si>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</si>
  <si>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</si>
  <si>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</si>
  <si>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</si>
  <si>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</si>
  <si>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</si>
  <si>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</si>
  <si>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</si>
  <si>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</si>
  <si>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</si>
  <si>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</si>
  <si>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</si>
  <si>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</si>
  <si>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</si>
  <si>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</si>
  <si>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</si>
  <si>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</si>
  <si>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</si>
  <si>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</si>
  <si>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</si>
  <si>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</si>
  <si>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</si>
  <si>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</si>
  <si>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</si>
  <si>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</si>
  <si>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</si>
  <si>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</si>
  <si>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</si>
  <si>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</si>
  <si>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</si>
  <si>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</si>
  <si>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</si>
  <si>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</si>
  <si>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</si>
  <si>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</si>
  <si>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</si>
  <si>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</si>
  <si>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</si>
  <si>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</si>
  <si>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</si>
  <si>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</si>
  <si>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</si>
  <si>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</si>
  <si>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</si>
  <si>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</si>
  <si>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</si>
  <si>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</si>
  <si>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</si>
  <si>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</si>
  <si>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</si>
  <si>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</si>
  <si>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</si>
  <si>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</si>
  <si>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</si>
  <si>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</si>
  <si>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</si>
  <si>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</si>
  <si>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</si>
  <si>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</si>
  <si>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</si>
  <si>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</si>
  <si>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</si>
  <si>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</si>
  <si>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</si>
  <si>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</si>
  <si>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</si>
  <si>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</si>
  <si>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</si>
  <si>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</si>
  <si>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</si>
  <si>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</si>
  <si>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</si>
  <si>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</si>
  <si>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</si>
  <si>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</si>
  <si>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</si>
  <si>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</si>
  <si>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</si>
  <si>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</si>
  <si>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</si>
  <si>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</si>
  <si>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</si>
  <si>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</si>
  <si>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</si>
  <si>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</si>
  <si>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</si>
  <si>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</si>
  <si>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</si>
  <si>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</si>
  <si>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</si>
  <si>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</si>
  <si>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</si>
  <si>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</si>
  <si>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</si>
  <si>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</si>
  <si>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</si>
  <si>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</si>
  <si>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</si>
  <si>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</si>
  <si>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</si>
  <si>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</si>
  <si>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</si>
  <si>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</si>
  <si>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</si>
  <si>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</si>
  <si>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</si>
  <si>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</si>
  <si>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</si>
  <si>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</si>
  <si>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</si>
  <si>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</si>
  <si>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</si>
  <si>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</si>
  <si>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</si>
  <si>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</si>
  <si>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</si>
  <si>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</si>
  <si>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</si>
  <si>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</si>
  <si>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</si>
  <si>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</si>
  <si>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</si>
  <si>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</si>
  <si>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</si>
  <si>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</si>
  <si>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</si>
  <si>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</si>
  <si>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</si>
  <si>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</si>
  <si>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</si>
  <si>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</si>
  <si>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</si>
  <si>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</si>
  <si>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</si>
  <si>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</si>
  <si>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</si>
  <si>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</si>
  <si>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</si>
  <si>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</si>
  <si>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</si>
  <si>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</si>
  <si>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</si>
  <si>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</si>
  <si>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</si>
  <si>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</si>
  <si>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</si>
  <si>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</si>
  <si>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</si>
  <si>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</si>
  <si>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</si>
  <si>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</si>
  <si>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</si>
  <si>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</si>
  <si>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</si>
  <si>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</si>
  <si>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</si>
  <si>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</si>
  <si>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</si>
  <si>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</si>
  <si>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</si>
  <si>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</si>
  <si>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</si>
  <si>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</si>
  <si>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</si>
  <si>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</si>
  <si>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</si>
  <si>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</si>
  <si>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</si>
  <si>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</si>
  <si>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</si>
  <si>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</si>
  <si>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</si>
  <si>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</si>
  <si>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</si>
  <si>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</si>
  <si>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</si>
  <si>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</si>
  <si>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</si>
  <si>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</si>
  <si>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</si>
  <si>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</si>
  <si>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</si>
  <si>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</si>
  <si>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</si>
  <si>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</si>
  <si>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</si>
  <si>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</si>
  <si>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</si>
  <si>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</si>
  <si>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</si>
  <si>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</si>
  <si>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</si>
  <si>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</si>
  <si>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</si>
  <si>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</si>
  <si>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</si>
  <si>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</si>
  <si>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</si>
  <si>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</si>
  <si>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</si>
  <si>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</si>
  <si>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</si>
  <si>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</si>
  <si>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</si>
  <si>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</si>
  <si>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</si>
  <si>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</si>
  <si>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</si>
  <si>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</si>
  <si>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</si>
  <si>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</si>
  <si>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</si>
  <si>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</si>
  <si>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</si>
  <si>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</si>
  <si>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</si>
  <si>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</si>
  <si>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</si>
  <si>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</si>
  <si>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</si>
  <si>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</si>
  <si>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</si>
  <si>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</si>
  <si>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</si>
  <si>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</si>
  <si>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</si>
  <si>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</si>
  <si>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</si>
  <si>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</si>
  <si>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</si>
  <si>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</si>
  <si>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</si>
  <si>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</si>
  <si>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</si>
  <si>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</si>
  <si>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</si>
  <si>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</si>
  <si>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</si>
  <si>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</si>
  <si>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</si>
  <si>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</si>
  <si>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</si>
  <si>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</si>
  <si>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</si>
  <si>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</si>
  <si>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</si>
  <si>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</si>
  <si>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</si>
  <si>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</si>
  <si>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</si>
  <si>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</si>
  <si>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</si>
  <si>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</si>
  <si>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</si>
  <si>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</si>
  <si>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</si>
  <si>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</si>
  <si>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</si>
  <si>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</si>
  <si>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</si>
  <si>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</si>
  <si>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</si>
  <si>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</si>
  <si>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</si>
  <si>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</si>
  <si>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</si>
  <si>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</si>
  <si>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</si>
  <si>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</si>
  <si>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</si>
  <si>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</si>
  <si>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</si>
  <si>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</si>
  <si>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</si>
  <si>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</si>
  <si>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</si>
  <si>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</si>
  <si>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</si>
  <si>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</si>
  <si>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</si>
  <si>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</si>
  <si>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</si>
  <si>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</si>
  <si>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</si>
  <si>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</si>
  <si>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</si>
  <si>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</si>
  <si>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</si>
  <si>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</si>
  <si>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</si>
  <si>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</si>
  <si>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</si>
  <si>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</si>
  <si>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</si>
  <si>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</si>
  <si>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</si>
  <si>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</si>
  <si>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</si>
  <si>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</si>
  <si>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</si>
  <si>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</si>
  <si>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</si>
  <si>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</si>
  <si>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</si>
  <si>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</si>
  <si>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</si>
  <si>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</si>
  <si>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</si>
  <si>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</si>
  <si>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</si>
  <si>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</si>
  <si>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</si>
  <si>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</si>
  <si>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</si>
  <si>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</si>
  <si>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</si>
  <si>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</si>
  <si>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</si>
  <si>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</si>
  <si>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</si>
  <si>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</si>
  <si>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</si>
  <si>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</si>
  <si>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</si>
  <si>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</si>
  <si>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</si>
  <si>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</si>
  <si>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</si>
  <si>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</si>
  <si>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</si>
  <si>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</si>
  <si>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</si>
  <si>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</si>
  <si>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</si>
  <si>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</si>
  <si>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</si>
  <si>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</si>
  <si>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</si>
  <si>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</si>
  <si>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</si>
  <si>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</si>
  <si>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</si>
  <si>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</si>
  <si>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</si>
  <si>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</si>
  <si>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</si>
  <si>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</si>
  <si>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</si>
  <si>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</si>
  <si>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</si>
  <si>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</si>
  <si>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</si>
  <si>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</si>
  <si>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</si>
  <si>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</si>
  <si>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</si>
  <si>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</si>
  <si>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</si>
  <si>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</si>
  <si>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</si>
  <si>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</si>
  <si>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</si>
  <si>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</si>
  <si>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</si>
  <si>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</si>
  <si>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</si>
  <si>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</si>
  <si>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</si>
  <si>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</si>
  <si>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</si>
  <si>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</si>
  <si>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</si>
  <si>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</si>
  <si>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</si>
  <si>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</si>
  <si>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</si>
  <si>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</si>
  <si>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</si>
  <si>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</si>
  <si>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</si>
  <si>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</si>
  <si>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</si>
  <si>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</si>
  <si>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</si>
  <si>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</si>
  <si>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</si>
  <si>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</si>
  <si>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</si>
  <si>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</si>
  <si>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</si>
  <si>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</si>
  <si>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</si>
  <si>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</si>
  <si>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</si>
  <si>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</si>
  <si>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</si>
  <si>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</si>
  <si>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</si>
  <si>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</si>
  <si>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</si>
  <si>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</si>
  <si>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</si>
  <si>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</si>
  <si>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</si>
  <si>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</si>
  <si>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</si>
  <si>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</si>
  <si>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</si>
  <si>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</si>
  <si>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</si>
  <si>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</si>
  <si>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</si>
  <si>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</si>
  <si>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</si>
  <si>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</si>
  <si>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</si>
  <si>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</si>
  <si>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</si>
  <si>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</si>
  <si>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</si>
  <si>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</si>
  <si>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</si>
  <si>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</si>
  <si>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</si>
  <si>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</si>
  <si>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</si>
  <si>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</si>
  <si>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</si>
  <si>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</si>
  <si>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</si>
  <si>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</si>
  <si>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</si>
  <si>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</si>
  <si>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</si>
  <si>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</si>
  <si>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</si>
  <si>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</si>
  <si>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</si>
  <si>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</si>
  <si>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</si>
  <si>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</si>
  <si>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</si>
  <si>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</si>
  <si>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</si>
  <si>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</si>
  <si>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</si>
  <si>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</si>
  <si>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</si>
  <si>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</si>
  <si>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</si>
  <si>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</si>
  <si>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</si>
  <si>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</si>
  <si>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</si>
  <si>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</si>
  <si>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</si>
  <si>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</si>
  <si>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</si>
  <si>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</si>
  <si>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</si>
  <si>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</si>
  <si>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</si>
  <si>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</si>
  <si>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</si>
  <si>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</si>
  <si>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</si>
  <si>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</si>
  <si>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</si>
  <si>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</si>
  <si>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</si>
  <si>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</si>
  <si>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</si>
  <si>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</si>
  <si>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</si>
  <si>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</si>
  <si>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</si>
  <si>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</si>
  <si>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</si>
  <si>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</si>
  <si>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</si>
  <si>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</si>
  <si>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</si>
  <si>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</si>
  <si>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</si>
  <si>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</si>
  <si>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</si>
  <si>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</si>
  <si>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</si>
  <si>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</si>
  <si>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</si>
  <si>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</si>
  <si>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</si>
  <si>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</si>
  <si>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</si>
  <si>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</si>
  <si>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</si>
  <si>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</si>
  <si>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</si>
  <si>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</si>
  <si>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</si>
  <si>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</si>
  <si>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</si>
  <si>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</si>
  <si>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</si>
  <si>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</si>
  <si>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</si>
  <si>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</si>
  <si>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</si>
  <si>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</si>
  <si>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</si>
  <si>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</si>
  <si>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</si>
  <si>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</si>
  <si>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</si>
  <si>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</si>
  <si>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</si>
  <si>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</si>
  <si>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</si>
  <si>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</si>
  <si>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</si>
  <si>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</si>
  <si>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</si>
  <si>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</si>
  <si>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</si>
  <si>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</si>
  <si>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</si>
  <si>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</si>
  <si>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</si>
  <si>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</si>
  <si>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</si>
  <si>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</si>
  <si>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</si>
  <si>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</si>
  <si>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</si>
  <si>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</si>
  <si>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</si>
  <si>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</si>
  <si>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</si>
  <si>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</si>
  <si>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</si>
  <si>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</si>
  <si>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</si>
  <si>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</si>
  <si>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</si>
  <si>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</si>
  <si>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</si>
  <si>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</si>
  <si>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</si>
  <si>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</si>
  <si>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</si>
  <si>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</si>
  <si>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</si>
  <si>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</si>
  <si>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</si>
  <si>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</si>
  <si>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</si>
  <si>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</si>
  <si>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</si>
  <si>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</si>
  <si>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</si>
  <si>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</si>
  <si>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</si>
  <si>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</si>
  <si>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</si>
  <si>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</si>
  <si>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</si>
  <si>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</si>
  <si>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</si>
  <si>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</si>
  <si>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</si>
  <si>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</si>
  <si>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</si>
  <si>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</si>
  <si>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</si>
  <si>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</si>
  <si>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</si>
  <si>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</si>
  <si>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</si>
  <si>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</si>
  <si>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</si>
  <si>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</si>
  <si>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</si>
  <si>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</si>
  <si>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</si>
  <si>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</si>
  <si>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</si>
  <si>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</si>
  <si>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</si>
  <si>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</si>
  <si>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</si>
  <si>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</si>
  <si>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</si>
  <si>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</si>
  <si>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</si>
  <si>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</si>
  <si>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</si>
  <si>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</si>
  <si>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</si>
  <si>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</si>
  <si>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</si>
  <si>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</si>
  <si>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</si>
  <si>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</si>
  <si>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</si>
  <si>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</si>
  <si>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</si>
  <si>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</si>
  <si>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</si>
  <si>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</si>
  <si>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</si>
  <si>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</si>
  <si>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</si>
  <si>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</si>
  <si>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</si>
  <si>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</si>
  <si>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</si>
  <si>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</si>
  <si>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</si>
  <si>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</si>
  <si>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</si>
  <si>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</si>
  <si>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</si>
  <si>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</si>
  <si>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</si>
  <si>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</si>
  <si>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</si>
  <si>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</si>
  <si>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</si>
  <si>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</si>
  <si>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</si>
  <si>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</si>
  <si>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</si>
  <si>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</si>
  <si>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</si>
  <si>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</si>
  <si>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</si>
  <si>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</si>
  <si>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</si>
  <si>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</si>
  <si>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</si>
  <si>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</si>
  <si>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</si>
  <si>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</si>
  <si>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</si>
  <si>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</si>
  <si>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</si>
  <si>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</si>
  <si>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</si>
  <si>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</si>
  <si>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</si>
  <si>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</si>
  <si>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</si>
  <si>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</si>
  <si>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</si>
  <si>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</si>
  <si>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</si>
  <si>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</si>
  <si>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</si>
  <si>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</si>
  <si>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</si>
  <si>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</si>
  <si>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</si>
  <si>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</si>
  <si>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</si>
  <si>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</si>
  <si>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</si>
  <si>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</si>
  <si>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</si>
  <si>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</si>
  <si>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</si>
  <si>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</si>
  <si>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</si>
  <si>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</si>
  <si>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</si>
  <si>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</si>
  <si>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</si>
  <si>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</si>
  <si>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</si>
  <si>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</si>
  <si>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</si>
  <si>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</si>
  <si>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</si>
  <si>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</si>
  <si>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</si>
  <si>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</si>
  <si>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</si>
  <si>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</si>
  <si>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</si>
  <si>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</si>
  <si>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</si>
  <si>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</si>
  <si>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</si>
  <si>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</si>
  <si>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</si>
  <si>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</si>
  <si>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</si>
  <si>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</si>
  <si>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</si>
  <si>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</si>
  <si>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</si>
  <si>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</si>
  <si>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</si>
  <si>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</si>
  <si>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</si>
  <si>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</si>
  <si>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</si>
  <si>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</si>
  <si>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</si>
  <si>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</si>
  <si>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</si>
  <si>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</si>
  <si>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</si>
  <si>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</si>
  <si>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</si>
  <si>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</si>
  <si>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</si>
  <si>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</si>
  <si>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</si>
  <si>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</si>
  <si>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</si>
  <si>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</si>
  <si>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</si>
  <si>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</si>
  <si>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</si>
  <si>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</si>
  <si>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</si>
  <si>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</si>
  <si>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</si>
  <si>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</si>
  <si>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</si>
  <si>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</si>
  <si>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</si>
  <si>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</si>
  <si>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</si>
  <si>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</si>
  <si>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</si>
  <si>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</si>
  <si>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</si>
  <si>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</si>
  <si>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</si>
  <si>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</si>
  <si>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</si>
  <si>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</si>
  <si>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</si>
  <si>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</si>
  <si>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</si>
  <si>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</si>
  <si>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</si>
  <si>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</si>
  <si>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</si>
  <si>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</si>
  <si>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</si>
  <si>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</si>
  <si>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</si>
  <si>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</si>
  <si>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</si>
  <si>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</si>
  <si>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</si>
  <si>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</si>
  <si>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</si>
  <si>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</si>
  <si>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</si>
  <si>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</si>
  <si>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</si>
  <si>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</si>
  <si>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</si>
  <si>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</si>
  <si>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</si>
  <si>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</si>
  <si>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</si>
  <si>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</si>
  <si>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</si>
  <si>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</si>
  <si>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</si>
  <si>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</si>
  <si>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</si>
  <si>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</si>
  <si>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</si>
  <si>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</si>
  <si>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</si>
  <si>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</si>
  <si>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</si>
  <si>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</si>
  <si>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</si>
  <si>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</si>
  <si>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</si>
  <si>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</si>
  <si>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</si>
  <si>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</si>
  <si>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</si>
  <si>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</si>
  <si>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</si>
  <si>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</si>
  <si>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</si>
  <si>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</si>
  <si>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</si>
  <si>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</si>
  <si>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</si>
  <si>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</si>
  <si>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</si>
  <si>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</si>
  <si>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</si>
  <si>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</si>
  <si>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</si>
  <si>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</si>
  <si>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</si>
  <si>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</si>
  <si>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</si>
  <si>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</si>
  <si>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</si>
  <si>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</si>
  <si>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</si>
  <si>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</si>
  <si>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</si>
  <si>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</si>
  <si>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</si>
  <si>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</si>
  <si>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</si>
  <si>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</si>
  <si>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</si>
  <si>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</si>
  <si>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</si>
  <si>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</si>
  <si>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</si>
  <si>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</si>
  <si>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</si>
  <si>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</si>
  <si>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</si>
  <si>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</si>
  <si>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</si>
  <si>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</si>
  <si>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</si>
  <si>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</si>
  <si>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</si>
  <si>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</si>
  <si>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</si>
  <si>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</si>
  <si>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</si>
  <si>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</si>
  <si>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</si>
  <si>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</si>
  <si>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</si>
  <si>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</si>
  <si>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</si>
  <si>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</si>
  <si>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</si>
  <si>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</si>
  <si>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</si>
  <si>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</si>
  <si>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</si>
  <si>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</si>
  <si>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</si>
  <si>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</si>
  <si>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</si>
  <si>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</si>
  <si>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</si>
  <si>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</si>
  <si>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</si>
  <si>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</si>
  <si>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</si>
  <si>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</si>
  <si>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</si>
  <si>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</si>
  <si>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</si>
  <si>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</si>
  <si>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</si>
  <si>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</si>
  <si>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</si>
  <si>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</si>
  <si>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</si>
  <si>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</si>
  <si>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</si>
  <si>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</si>
  <si>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</si>
  <si>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</si>
  <si>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</si>
  <si>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</si>
  <si>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</si>
  <si>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</si>
  <si>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</si>
  <si>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</si>
  <si>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</si>
  <si>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</si>
  <si>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</si>
  <si>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</si>
  <si>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</si>
  <si>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</si>
  <si>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</si>
  <si>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</si>
  <si>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</si>
  <si>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</si>
  <si>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</si>
  <si>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</si>
  <si>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</si>
  <si>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</si>
  <si>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</si>
  <si>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</si>
  <si>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</si>
  <si>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</si>
  <si>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</si>
  <si>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</si>
  <si>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</si>
  <si>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</si>
  <si>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</si>
  <si>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</si>
  <si>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</si>
  <si>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</si>
  <si>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</si>
  <si>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</si>
  <si>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</si>
  <si>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</si>
  <si>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</si>
  <si>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</si>
  <si>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</si>
  <si>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</si>
  <si>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</si>
  <si>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</si>
  <si>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</si>
  <si>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</si>
  <si>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</si>
  <si>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</si>
  <si>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</si>
  <si>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</si>
  <si>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</si>
  <si>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</si>
  <si>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</si>
  <si>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</si>
  <si>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</si>
  <si>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</si>
  <si>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</si>
  <si>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</si>
  <si>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</si>
  <si>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</si>
  <si>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</si>
  <si>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</si>
  <si>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</si>
  <si>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</si>
  <si>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</si>
  <si>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</si>
  <si>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</si>
  <si>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</si>
  <si>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</si>
  <si>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</si>
  <si>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</si>
  <si>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</si>
  <si>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</si>
  <si>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</si>
  <si>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</si>
  <si>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</si>
  <si>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</si>
  <si>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</si>
  <si>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</si>
  <si>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</si>
  <si>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</si>
  <si>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</si>
  <si>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</si>
  <si>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</si>
  <si>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</si>
  <si>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</si>
  <si>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</si>
  <si>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</si>
  <si>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</si>
  <si>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</si>
  <si>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</si>
  <si>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</si>
  <si>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</si>
  <si>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</si>
  <si>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</si>
  <si>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</si>
  <si>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</si>
  <si>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</si>
  <si>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</si>
  <si>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</si>
  <si>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</si>
  <si>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</si>
  <si>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</si>
  <si>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</si>
  <si>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</si>
  <si>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</si>
  <si>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</si>
  <si>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</si>
  <si>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</si>
  <si>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</si>
  <si>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</si>
  <si>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</si>
  <si>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</si>
  <si>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</si>
  <si>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</si>
  <si>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</si>
  <si>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</si>
  <si>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</si>
  <si>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</si>
  <si>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</si>
  <si>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</si>
  <si>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</si>
  <si>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</si>
  <si>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</si>
  <si>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</si>
  <si>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</si>
  <si>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</si>
  <si>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</si>
  <si>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</si>
  <si>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</si>
  <si>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</si>
  <si>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</si>
  <si>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</si>
  <si>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</si>
  <si>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</si>
  <si>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</si>
  <si>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</si>
  <si>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</si>
  <si>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</si>
  <si>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</si>
  <si>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</si>
  <si>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</si>
  <si>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</si>
  <si>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</si>
  <si>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</si>
  <si>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</si>
  <si>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</si>
  <si>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</si>
  <si>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</si>
  <si>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</si>
  <si>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</si>
  <si>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</si>
  <si>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</si>
  <si>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</si>
  <si>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</si>
  <si>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</si>
  <si>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</si>
  <si>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</si>
  <si>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</si>
  <si>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</si>
  <si>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</si>
  <si>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</si>
  <si>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</si>
  <si>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</si>
  <si>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</si>
  <si>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</si>
  <si>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</si>
  <si>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</si>
  <si>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</si>
  <si>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</si>
  <si>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</si>
  <si>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</si>
  <si>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</si>
  <si>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</si>
  <si>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</si>
  <si>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</si>
  <si>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</si>
  <si>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</si>
  <si>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</si>
  <si>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</si>
  <si>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</si>
  <si>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</si>
  <si>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</si>
  <si>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</si>
  <si>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</si>
  <si>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</si>
  <si>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</si>
  <si>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</si>
  <si>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</si>
  <si>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</si>
  <si>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</si>
  <si>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</si>
  <si>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</si>
  <si>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</si>
  <si>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</si>
  <si>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</si>
  <si>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</si>
  <si>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</si>
  <si>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</si>
  <si>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</si>
  <si>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</si>
  <si>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</si>
  <si>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</si>
  <si>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</si>
  <si>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</si>
  <si>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</si>
  <si>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</si>
  <si>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</si>
  <si>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</si>
  <si>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</si>
  <si>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</si>
  <si>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</si>
  <si>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</si>
  <si>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</si>
  <si>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</si>
  <si>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</si>
  <si>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</si>
  <si>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</si>
  <si>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</si>
  <si>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</si>
  <si>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</si>
  <si>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</si>
  <si>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</si>
  <si>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</si>
  <si>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</si>
  <si>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</si>
  <si>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</si>
  <si>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</si>
  <si>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</si>
  <si>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</si>
  <si>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</si>
  <si>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</si>
  <si>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</si>
  <si>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</si>
  <si>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</si>
  <si>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</si>
  <si>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</si>
  <si>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</si>
  <si>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</si>
  <si>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</si>
  <si>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</si>
  <si>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</si>
  <si>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</si>
  <si>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</si>
  <si>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</si>
  <si>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</si>
  <si>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</si>
  <si>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</si>
  <si>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</si>
  <si>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</si>
  <si>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</si>
  <si>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</si>
  <si>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</si>
  <si>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</si>
  <si>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</si>
  <si>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</si>
  <si>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</si>
  <si>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</si>
  <si>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</si>
  <si>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</si>
  <si>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</si>
  <si>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</si>
  <si>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</si>
  <si>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</si>
  <si>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</si>
  <si>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</si>
  <si>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</si>
  <si>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</si>
  <si>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</si>
  <si>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</si>
  <si>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</si>
  <si>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</si>
  <si>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</si>
  <si>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</si>
  <si>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</si>
  <si>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</si>
  <si>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</si>
  <si>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</si>
  <si>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</si>
  <si>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</si>
  <si>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</si>
  <si>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</si>
  <si>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</si>
  <si>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</si>
  <si>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</si>
  <si>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</si>
  <si>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</si>
  <si>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</si>
  <si>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</si>
  <si>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</si>
  <si>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</si>
  <si>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</si>
  <si>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</si>
  <si>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</si>
  <si>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</si>
  <si>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</si>
  <si>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</si>
  <si>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</si>
  <si>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</si>
  <si>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</si>
  <si>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</si>
  <si>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</si>
  <si>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</si>
  <si>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</si>
  <si>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</si>
  <si>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</si>
  <si>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</si>
  <si>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</si>
  <si>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</si>
  <si>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</si>
  <si>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</si>
  <si>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</si>
  <si>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</si>
  <si>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</si>
  <si>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</si>
  <si>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</si>
  <si>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</si>
  <si>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</si>
  <si>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</si>
  <si>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</si>
  <si>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</si>
  <si>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</si>
  <si>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</si>
  <si>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</si>
  <si>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</si>
  <si>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</si>
  <si>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</si>
  <si>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</si>
  <si>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</si>
  <si>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</si>
  <si>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</si>
  <si>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</si>
  <si>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</si>
  <si>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</si>
  <si>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</si>
  <si>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</si>
  <si>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</si>
  <si>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</si>
  <si>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</si>
  <si>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</si>
  <si>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</si>
  <si>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</si>
  <si>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</si>
  <si>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</si>
  <si>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</si>
  <si>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</si>
  <si>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</si>
  <si>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</si>
  <si>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</si>
  <si>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</si>
  <si>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</si>
  <si>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</si>
  <si>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</si>
  <si>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</si>
  <si>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</si>
  <si>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</si>
  <si>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</si>
  <si>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</si>
  <si>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</si>
  <si>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</si>
  <si>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</si>
  <si>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</si>
  <si>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</si>
  <si>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</si>
  <si>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</si>
  <si>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</si>
  <si>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</si>
  <si>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</si>
  <si>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</si>
  <si>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</si>
  <si>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</si>
  <si>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</si>
  <si>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</si>
  <si>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</si>
  <si>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</si>
  <si>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</si>
  <si>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</si>
  <si>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</si>
  <si>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</si>
  <si>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</si>
  <si>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</si>
  <si>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</si>
  <si>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</si>
  <si>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</si>
  <si>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</si>
  <si>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</si>
  <si>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</si>
  <si>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</si>
  <si>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</si>
  <si>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</si>
  <si>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</si>
  <si>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</si>
  <si>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</si>
  <si>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</si>
  <si>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</si>
  <si>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</si>
  <si>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</si>
  <si>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</si>
  <si>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</si>
  <si>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</si>
  <si>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</si>
  <si>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</si>
  <si>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</si>
  <si>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</si>
  <si>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</si>
  <si>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</si>
  <si>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</si>
  <si>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</si>
  <si>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</si>
  <si>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</si>
  <si>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</si>
  <si>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</si>
  <si>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</si>
  <si>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</si>
  <si>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</si>
  <si>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</si>
  <si>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</si>
  <si>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</si>
  <si>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</si>
  <si>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</si>
  <si>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</si>
  <si>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</si>
  <si>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</si>
  <si>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</si>
  <si>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</si>
  <si>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</si>
  <si>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</si>
  <si>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</si>
  <si>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</si>
  <si>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</si>
  <si>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</si>
  <si>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</si>
  <si>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</si>
  <si>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</si>
  <si>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</si>
  <si>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</si>
  <si>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</si>
  <si>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</si>
  <si>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</si>
  <si>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</si>
  <si>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</si>
  <si>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</si>
  <si>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</si>
  <si>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</si>
  <si>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</si>
  <si>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</si>
  <si>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</si>
  <si>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</si>
  <si>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</si>
  <si>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</si>
  <si>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</si>
  <si>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</si>
  <si>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</si>
  <si>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</si>
  <si>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</si>
  <si>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</si>
  <si>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</si>
  <si>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</si>
  <si>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</si>
  <si>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</si>
  <si>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</si>
  <si>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</si>
  <si>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</si>
  <si>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</si>
  <si>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</si>
  <si>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</si>
  <si>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</si>
  <si>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</si>
  <si>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</si>
  <si>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</si>
  <si>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</si>
  <si>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</si>
  <si>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</si>
  <si>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</si>
  <si>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</si>
  <si>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</si>
  <si>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</si>
  <si>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</si>
  <si>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</si>
  <si>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</si>
  <si>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</si>
  <si>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</si>
  <si>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</si>
  <si>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</si>
  <si>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</si>
  <si>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</si>
  <si>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</si>
  <si>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</si>
  <si>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</si>
  <si>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</si>
  <si>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</si>
  <si>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</si>
  <si>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</si>
  <si>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</si>
  <si>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</si>
  <si>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</si>
  <si>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</si>
  <si>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</si>
  <si>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</si>
  <si>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</si>
  <si>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</si>
  <si>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</si>
  <si>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</si>
  <si>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</si>
  <si>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</si>
  <si>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</si>
  <si>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</si>
  <si>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</si>
  <si>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</si>
  <si>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</si>
  <si>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</si>
  <si>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</si>
  <si>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</si>
  <si>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</si>
  <si>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</si>
  <si>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</si>
  <si>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</si>
  <si>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</si>
  <si>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</si>
  <si>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</si>
  <si>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</si>
  <si>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</si>
  <si>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</si>
  <si>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</si>
  <si>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</si>
  <si>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</si>
  <si>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</si>
  <si>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</si>
  <si>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</si>
  <si>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</si>
  <si>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</si>
  <si>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</si>
  <si>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</si>
  <si>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</si>
  <si>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</si>
  <si>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</si>
  <si>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</si>
  <si>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</si>
  <si>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</si>
  <si>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</si>
  <si>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</si>
  <si>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</si>
  <si>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</si>
  <si>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</si>
  <si>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</si>
  <si>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</si>
  <si>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</si>
  <si>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</si>
  <si>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</si>
  <si>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</si>
  <si>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</si>
  <si>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</si>
  <si>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</si>
  <si>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</si>
  <si>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</si>
  <si>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</si>
  <si>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</si>
  <si>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</si>
  <si>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</si>
  <si>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</si>
  <si>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</si>
  <si>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</si>
  <si>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</si>
  <si>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</si>
  <si>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</si>
  <si>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</si>
  <si>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</si>
  <si>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</si>
  <si>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</si>
  <si>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</si>
  <si>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</si>
  <si>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</si>
  <si>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</si>
  <si>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</si>
  <si>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</si>
  <si>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</si>
  <si>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</si>
  <si>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</si>
  <si>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</si>
  <si>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</si>
  <si>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</si>
  <si>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</si>
  <si>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</si>
  <si>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</si>
  <si>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</si>
  <si>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</si>
  <si>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</si>
  <si>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</si>
  <si>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</si>
  <si>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</si>
  <si>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</si>
  <si>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</si>
  <si>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</si>
  <si>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</si>
  <si>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</si>
  <si>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</si>
  <si>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</si>
  <si>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</si>
  <si>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</si>
  <si>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</si>
  <si>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</si>
  <si>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</si>
  <si>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</si>
  <si>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</si>
  <si>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</si>
  <si>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</si>
  <si>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</si>
  <si>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</si>
  <si>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</si>
  <si>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</si>
  <si>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</si>
  <si>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</si>
  <si>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</si>
  <si>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</si>
  <si>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</si>
  <si>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</si>
  <si>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</si>
  <si>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</si>
  <si>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</si>
  <si>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</si>
  <si>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</si>
  <si>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</si>
  <si>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</si>
  <si>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</si>
  <si>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</si>
  <si>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</si>
  <si>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</si>
  <si>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</si>
  <si>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</si>
  <si>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</si>
  <si>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</si>
  <si>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</si>
  <si>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</si>
  <si>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</si>
  <si>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</si>
  <si>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</si>
  <si>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</si>
  <si>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</si>
  <si>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</si>
  <si>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</si>
  <si>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</si>
  <si>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</si>
  <si>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</si>
  <si>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</si>
  <si>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</si>
  <si>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</si>
  <si>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</si>
  <si>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</si>
  <si>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</si>
  <si>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</si>
  <si>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</si>
  <si>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</si>
  <si>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</si>
  <si>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</si>
  <si>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</si>
  <si>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</si>
  <si>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</si>
  <si>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</si>
  <si>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</si>
  <si>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</si>
  <si>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</si>
  <si>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</si>
  <si>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</si>
  <si>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</si>
  <si>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</si>
  <si>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</si>
  <si>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</si>
  <si>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</si>
  <si>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</si>
  <si>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</si>
  <si>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</si>
  <si>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</si>
  <si>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</si>
  <si>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</si>
  <si>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</si>
  <si>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</si>
  <si>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</si>
  <si>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</si>
  <si>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</si>
  <si>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</si>
  <si>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</si>
  <si>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</si>
  <si>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</si>
  <si>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</si>
  <si>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</si>
  <si>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</si>
  <si>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</si>
  <si>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</si>
  <si>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</si>
  <si>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</si>
  <si>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</si>
  <si>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</si>
  <si>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</si>
  <si>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</si>
  <si>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</si>
  <si>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</si>
  <si>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</si>
  <si>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</si>
  <si>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</si>
  <si>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</si>
  <si>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</si>
  <si>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</si>
  <si>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</si>
  <si>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</si>
  <si>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</si>
  <si>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</si>
  <si>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</si>
  <si>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</si>
  <si>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</si>
  <si>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</si>
  <si>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</si>
  <si>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</si>
  <si>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</si>
  <si>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</si>
  <si>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</si>
  <si>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</si>
  <si>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</si>
  <si>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</si>
  <si>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</si>
  <si>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</si>
  <si>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</si>
  <si>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</si>
  <si>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</si>
  <si>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</si>
  <si>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</si>
  <si>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</si>
  <si>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</si>
  <si>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</si>
  <si>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</si>
  <si>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</si>
  <si>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</si>
  <si>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</si>
  <si>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</si>
  <si>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</si>
  <si>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</si>
  <si>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</si>
  <si>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</si>
  <si>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</si>
  <si>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</si>
  <si>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</si>
  <si>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</si>
  <si>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</si>
  <si>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</si>
  <si>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</si>
  <si>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</si>
  <si>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</si>
  <si>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</si>
  <si>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</si>
  <si>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</si>
  <si>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</si>
  <si>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</si>
  <si>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</si>
  <si>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</si>
  <si>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</si>
  <si>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</si>
  <si>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</si>
  <si>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</si>
  <si>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</si>
  <si>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</si>
  <si>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</si>
  <si>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</si>
  <si>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</si>
  <si>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</si>
  <si>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</si>
  <si>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</si>
  <si>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</si>
  <si>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</si>
  <si>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</si>
  <si>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</si>
  <si>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</si>
  <si>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</si>
  <si>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</si>
  <si>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</si>
  <si>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</si>
  <si>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</si>
  <si>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</si>
  <si>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</si>
  <si>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</si>
  <si>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</si>
  <si>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</si>
  <si>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</si>
  <si>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</si>
  <si>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</si>
  <si>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</si>
  <si>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</si>
  <si>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</si>
  <si>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</si>
  <si>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</si>
  <si>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</si>
  <si>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</si>
  <si>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</si>
  <si>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</si>
  <si>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</si>
  <si>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</si>
  <si>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</si>
  <si>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</si>
  <si>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</si>
  <si>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</si>
  <si>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</si>
  <si>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</si>
  <si>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</si>
  <si>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</si>
  <si>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</si>
  <si>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</si>
  <si>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</si>
  <si>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</si>
  <si>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</si>
  <si>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</si>
  <si>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</si>
  <si>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</si>
  <si>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</si>
  <si>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</si>
  <si>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</si>
  <si>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</si>
  <si>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</si>
  <si>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</si>
  <si>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</si>
  <si>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</si>
  <si>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</si>
  <si>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</si>
  <si>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</si>
  <si>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</si>
  <si>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</si>
  <si>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</si>
  <si>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</si>
  <si>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</si>
  <si>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</si>
  <si>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</si>
  <si>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</si>
  <si>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</si>
  <si>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</si>
  <si>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</si>
  <si>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</si>
  <si>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</si>
  <si>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</si>
  <si>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</si>
  <si>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</si>
  <si>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</si>
  <si>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</si>
  <si>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</si>
  <si>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</si>
  <si>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</si>
  <si>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</si>
  <si>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</si>
  <si>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</si>
  <si>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</si>
  <si>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</si>
  <si>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</si>
  <si>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</si>
  <si>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</si>
  <si>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</si>
  <si>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</si>
  <si>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</si>
  <si>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</si>
  <si>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</si>
  <si>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</si>
  <si>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</si>
  <si>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</si>
  <si>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</si>
  <si>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</si>
  <si>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</si>
  <si>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</si>
  <si>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</si>
  <si>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</si>
  <si>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</si>
  <si>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</si>
  <si>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</si>
  <si>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</si>
  <si>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</si>
  <si>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</si>
  <si>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</si>
  <si>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</si>
  <si>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</si>
  <si>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</si>
  <si>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</si>
  <si>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</si>
  <si>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</si>
  <si>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</si>
  <si>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</si>
  <si>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</si>
  <si>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</si>
  <si>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</si>
  <si>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</si>
  <si>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</si>
  <si>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</si>
  <si>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</si>
  <si>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</si>
  <si>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</si>
  <si>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</si>
  <si>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</si>
  <si>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</si>
  <si>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</si>
  <si>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</si>
  <si>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</si>
  <si>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</si>
  <si>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</si>
  <si>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</si>
  <si>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</si>
  <si>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</si>
  <si>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</si>
  <si>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</si>
  <si>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</si>
  <si>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</si>
  <si>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</si>
  <si>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</si>
  <si>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</si>
  <si>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</si>
  <si>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</si>
  <si>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</si>
  <si>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</si>
  <si>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</si>
  <si>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</si>
  <si>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</si>
  <si>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</si>
  <si>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</si>
  <si>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</si>
  <si>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</si>
  <si>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</si>
  <si>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</si>
  <si>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</si>
  <si>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</si>
  <si>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</si>
  <si>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</si>
  <si>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</si>
  <si>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</si>
  <si>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</si>
  <si>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</si>
  <si>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</si>
  <si>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</si>
  <si>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</si>
  <si>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</si>
  <si>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</si>
  <si>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</si>
  <si>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</si>
  <si>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</si>
  <si>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</si>
  <si>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</si>
  <si>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</si>
  <si>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</si>
  <si>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</si>
  <si>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</si>
  <si>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</si>
  <si>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</si>
  <si>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</si>
  <si>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</si>
  <si>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</si>
  <si>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</si>
  <si>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</si>
  <si>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</si>
  <si>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</si>
  <si>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</si>
  <si>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</si>
  <si>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</si>
  <si>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</si>
  <si>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</si>
  <si>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</si>
  <si>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</si>
  <si>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</si>
  <si>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</si>
  <si>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</si>
  <si>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</si>
  <si>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</si>
  <si>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</si>
  <si>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</si>
  <si>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</si>
  <si>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</si>
  <si>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</si>
  <si>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</si>
  <si>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</si>
  <si>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</si>
  <si>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</si>
  <si>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</si>
  <si>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</si>
  <si>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</si>
  <si>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</si>
  <si>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</si>
  <si>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</si>
  <si>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</si>
  <si>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</si>
  <si>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</si>
  <si>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</si>
  <si>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</si>
  <si>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</si>
  <si>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</si>
  <si>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</si>
  <si>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</si>
  <si>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</si>
  <si>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</si>
  <si>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</si>
  <si>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</si>
  <si>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</si>
  <si>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</si>
  <si>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</si>
  <si>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</si>
  <si>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</si>
  <si>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</si>
  <si>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</si>
  <si>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</si>
  <si>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</si>
  <si>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</si>
  <si>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</si>
  <si>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</si>
  <si>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</si>
  <si>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</si>
  <si>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</si>
  <si>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</si>
  <si>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</si>
  <si>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</si>
  <si>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</si>
  <si>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</si>
  <si>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</si>
  <si>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</si>
  <si>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</si>
  <si>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</si>
  <si>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</si>
  <si>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</si>
  <si>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</si>
  <si>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</si>
  <si>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</si>
  <si>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</si>
  <si>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</si>
  <si>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</si>
  <si>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</si>
  <si>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</si>
  <si>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</si>
  <si>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</si>
  <si>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</si>
  <si>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</si>
  <si>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</si>
  <si>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</si>
  <si>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</si>
  <si>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</si>
  <si>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</si>
  <si>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</si>
  <si>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</si>
  <si>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</si>
  <si>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</si>
  <si>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</si>
  <si>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</si>
  <si>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</si>
  <si>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</si>
  <si>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</si>
  <si>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</si>
  <si>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</si>
  <si>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</si>
  <si>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</si>
  <si>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</si>
  <si>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</si>
  <si>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</si>
  <si>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</si>
  <si>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</si>
  <si>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</si>
  <si>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</si>
  <si>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</si>
  <si>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</si>
  <si>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</si>
  <si>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</si>
  <si>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</si>
  <si>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</si>
  <si>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</si>
  <si>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</si>
  <si>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</si>
  <si>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</si>
  <si>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</si>
  <si>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</si>
  <si>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</si>
  <si>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</si>
  <si>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</si>
  <si>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</si>
  <si>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</si>
  <si>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</si>
  <si>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</si>
  <si>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</si>
  <si>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</si>
  <si>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</si>
  <si>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</si>
  <si>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</si>
  <si>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</si>
  <si>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</si>
  <si>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</si>
  <si>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</si>
  <si>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</si>
  <si>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</si>
  <si>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</si>
  <si>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</si>
  <si>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</si>
  <si>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</si>
  <si>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</si>
  <si>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</si>
  <si>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</si>
  <si>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</si>
  <si>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</si>
  <si>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</si>
  <si>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</si>
  <si>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</si>
  <si>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</si>
  <si>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</si>
  <si>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</si>
  <si>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</si>
  <si>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</si>
  <si>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</si>
  <si>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</si>
  <si>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</si>
  <si>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</si>
  <si>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</si>
  <si>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</si>
  <si>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</si>
  <si>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</si>
  <si>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</si>
  <si>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</si>
  <si>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</si>
  <si>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</si>
  <si>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</si>
  <si>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</si>
  <si>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</si>
  <si>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</si>
  <si>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</si>
  <si>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</si>
  <si>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</si>
  <si>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</si>
  <si>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</si>
  <si>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</si>
  <si>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</si>
  <si>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</si>
  <si>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</si>
  <si>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</si>
  <si>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</si>
  <si>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</si>
  <si>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</si>
  <si>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</si>
  <si>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</si>
  <si>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</si>
  <si>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</si>
  <si>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</si>
  <si>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</si>
  <si>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</si>
  <si>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</si>
  <si>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</si>
  <si>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</si>
  <si>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</si>
  <si>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</si>
  <si>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</si>
  <si>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</si>
  <si>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</si>
  <si>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</si>
  <si>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</si>
  <si>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</si>
  <si>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</si>
  <si>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</si>
  <si>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</si>
  <si>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</si>
  <si>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</si>
  <si>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</si>
  <si>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</si>
  <si>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</si>
  <si>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</si>
  <si>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</si>
  <si>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</si>
  <si>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</si>
  <si>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</si>
  <si>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</si>
  <si>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</si>
  <si>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</si>
  <si>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</si>
  <si>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</si>
  <si>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</si>
  <si>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</si>
  <si>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</si>
  <si>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</si>
  <si>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</si>
  <si>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</si>
  <si>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</si>
  <si>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</si>
  <si>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</si>
  <si>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</si>
  <si>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</si>
  <si>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</si>
  <si>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</si>
  <si>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</si>
  <si>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</si>
  <si>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</si>
  <si>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</si>
  <si>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</si>
  <si>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</si>
  <si>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</si>
  <si>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</si>
  <si>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</si>
  <si>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</si>
  <si>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</si>
  <si>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</si>
  <si>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</si>
  <si>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</si>
  <si>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</si>
  <si>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</si>
  <si>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</si>
  <si>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</si>
  <si>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</si>
  <si>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</si>
  <si>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</si>
  <si>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</si>
  <si>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</si>
  <si>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</si>
  <si>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</si>
  <si>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</si>
  <si>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</si>
  <si>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</si>
  <si>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</si>
  <si>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</si>
  <si>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</si>
  <si>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</si>
  <si>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</si>
  <si>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</si>
  <si>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</si>
  <si>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</si>
  <si>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</si>
  <si>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</si>
  <si>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</si>
  <si>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</si>
  <si>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</si>
  <si>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</si>
  <si>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</si>
  <si>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</si>
  <si>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</si>
  <si>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</si>
  <si>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</si>
  <si>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</si>
  <si>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</si>
  <si>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</si>
  <si>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</si>
  <si>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</si>
  <si>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</si>
  <si>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</si>
  <si>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</si>
  <si>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</si>
  <si>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</si>
  <si>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</si>
  <si>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</si>
  <si>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</si>
  <si>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</si>
  <si>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</si>
  <si>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</si>
  <si>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</si>
  <si>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</si>
  <si>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</si>
  <si>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</si>
  <si>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</si>
  <si>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</si>
  <si>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</si>
  <si>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</si>
  <si>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</si>
  <si>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</si>
  <si>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</si>
  <si>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</si>
  <si>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</si>
  <si>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</si>
  <si>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</si>
  <si>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</si>
  <si>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</si>
  <si>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</si>
  <si>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</si>
  <si>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</si>
  <si>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</si>
  <si>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</si>
  <si>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</si>
  <si>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</si>
  <si>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</si>
  <si>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</si>
  <si>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</si>
  <si>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</si>
  <si>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</si>
  <si>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</si>
  <si>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</si>
  <si>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</si>
  <si>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</si>
  <si>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</si>
  <si>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</si>
  <si>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</si>
  <si>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</si>
  <si>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</si>
  <si>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</si>
  <si>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</si>
  <si>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</si>
  <si>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</si>
  <si>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</si>
  <si>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</si>
  <si>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</si>
  <si>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</si>
  <si>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</si>
  <si>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</si>
  <si>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</si>
  <si>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</si>
  <si>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</si>
  <si>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</si>
  <si>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</si>
  <si>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</si>
  <si>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</si>
  <si>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</si>
  <si>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</si>
  <si>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</si>
  <si>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</si>
  <si>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</si>
  <si>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</si>
  <si>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</si>
  <si>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</si>
  <si>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</si>
  <si>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</si>
  <si>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</si>
  <si>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</si>
  <si>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</si>
  <si>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</si>
  <si>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</si>
  <si>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</si>
  <si>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</si>
  <si>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</si>
  <si>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</si>
  <si>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</si>
  <si>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</si>
  <si>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</si>
  <si>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</si>
  <si>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</si>
  <si>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</si>
  <si>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</si>
  <si>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</si>
  <si>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</si>
  <si>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</si>
  <si>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</si>
  <si>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</si>
  <si>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</si>
  <si>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</si>
  <si>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</si>
  <si>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</si>
  <si>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</si>
  <si>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</si>
  <si>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</si>
  <si>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</si>
  <si>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</si>
  <si>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</si>
  <si>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</si>
  <si>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</si>
  <si>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</si>
  <si>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</si>
  <si>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</si>
  <si>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</si>
  <si>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</si>
  <si>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</si>
  <si>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</si>
  <si>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</si>
  <si>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</si>
  <si>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</si>
  <si>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</si>
  <si>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</si>
  <si>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</si>
  <si>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</si>
  <si>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</si>
  <si>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</si>
  <si>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</si>
  <si>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</si>
  <si>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</si>
  <si>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</si>
  <si>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</si>
  <si>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</si>
  <si>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</si>
  <si>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</si>
  <si>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</si>
  <si>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</si>
  <si>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</si>
  <si>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</si>
  <si>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</si>
  <si>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</si>
  <si>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</si>
  <si>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</si>
  <si>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</si>
  <si>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</si>
  <si>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</si>
  <si>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</si>
  <si>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</si>
  <si>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</si>
  <si>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</si>
  <si>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</si>
  <si>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</si>
  <si>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</si>
  <si>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</si>
  <si>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</si>
  <si>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</si>
  <si>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</si>
  <si>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</si>
  <si>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</si>
  <si>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</si>
  <si>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</si>
  <si>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</si>
  <si>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</si>
  <si>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</si>
  <si>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</si>
  <si>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</si>
  <si>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</si>
  <si>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</si>
  <si>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</si>
  <si>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</si>
  <si>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</si>
  <si>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</si>
  <si>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</si>
  <si>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</si>
  <si>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</si>
  <si>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</si>
  <si>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</si>
  <si>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</si>
  <si>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</si>
  <si>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</si>
  <si>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</si>
  <si>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</si>
  <si>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</si>
  <si>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</si>
  <si>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</si>
  <si>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</si>
  <si>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</si>
  <si>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</si>
  <si>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</si>
  <si>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</si>
  <si>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</si>
  <si>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</si>
  <si>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</si>
  <si>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</si>
  <si>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</si>
  <si>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</si>
  <si>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</si>
  <si>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</si>
  <si>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</si>
  <si>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</si>
  <si>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</si>
  <si>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</si>
  <si>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</si>
  <si>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</si>
  <si>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</si>
  <si>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</si>
  <si>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</si>
  <si>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</si>
  <si>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</si>
  <si>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</si>
  <si>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</si>
  <si>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</si>
  <si>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</si>
  <si>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</si>
  <si>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</si>
  <si>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</si>
  <si>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</si>
  <si>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</si>
  <si>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</si>
  <si>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</si>
  <si>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</si>
  <si>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</si>
  <si>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</si>
  <si>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</si>
  <si>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</si>
  <si>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</si>
  <si>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</si>
  <si>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</si>
  <si>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</si>
  <si>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</si>
  <si>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</si>
  <si>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</si>
  <si>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</si>
  <si>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</si>
  <si>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</si>
  <si>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</si>
  <si>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</si>
  <si>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</si>
  <si>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</si>
  <si>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</si>
  <si>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</si>
  <si>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</si>
  <si>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</si>
  <si>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</si>
  <si>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</si>
  <si>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</si>
  <si>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</si>
  <si>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</si>
  <si>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</si>
  <si>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</si>
  <si>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</si>
  <si>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</si>
  <si>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</si>
  <si>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</si>
  <si>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</si>
  <si>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</si>
  <si>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</si>
  <si>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</si>
  <si>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</si>
  <si>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</si>
  <si>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</si>
  <si>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</si>
  <si>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</si>
  <si>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</si>
  <si>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</si>
  <si>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</si>
  <si>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</si>
  <si>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</si>
  <si>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</si>
  <si>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</si>
  <si>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</si>
  <si>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</si>
  <si>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</si>
  <si>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</si>
  <si>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</si>
  <si>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</si>
  <si>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</si>
  <si>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</si>
  <si>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</si>
  <si>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</si>
  <si>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</si>
  <si>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</si>
  <si>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</si>
  <si>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</si>
  <si>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</si>
  <si>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</si>
  <si>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</si>
  <si>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</si>
  <si>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</si>
  <si>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</si>
  <si>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</si>
  <si>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</si>
  <si>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</si>
  <si>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</si>
  <si>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</si>
  <si>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</si>
  <si>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</si>
  <si>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</si>
  <si>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</si>
  <si>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</si>
  <si>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</si>
  <si>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</si>
  <si>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</si>
  <si>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</si>
  <si>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</si>
  <si>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</si>
  <si>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</si>
  <si>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</si>
  <si>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</si>
  <si>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</si>
  <si>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</si>
  <si>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</si>
  <si>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</si>
  <si>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</si>
  <si>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</si>
  <si>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</si>
  <si>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</si>
  <si>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</si>
  <si>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</si>
  <si>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</si>
  <si>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</si>
  <si>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</si>
  <si>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</si>
  <si>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</si>
  <si>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</si>
  <si>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</si>
  <si>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</si>
  <si>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</si>
  <si>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</si>
  <si>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</si>
  <si>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</si>
  <si>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</si>
  <si>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</si>
  <si>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</si>
  <si>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</si>
  <si>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</si>
  <si>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</si>
  <si>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</si>
  <si>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</si>
  <si>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</si>
  <si>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</si>
  <si>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</si>
  <si>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</si>
  <si>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</si>
  <si>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</si>
  <si>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</si>
  <si>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</si>
  <si>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</si>
  <si>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</si>
  <si>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</si>
  <si>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</si>
  <si>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</si>
  <si>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</si>
  <si>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</si>
  <si>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</si>
  <si>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</si>
  <si>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</si>
  <si>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</si>
  <si>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</si>
  <si>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</si>
  <si>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</si>
  <si>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</si>
  <si>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</si>
  <si>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</si>
  <si>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</si>
  <si>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</si>
  <si>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</si>
  <si>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</si>
  <si>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</si>
  <si>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</si>
  <si>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</si>
  <si>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</si>
  <si>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</si>
  <si>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</si>
  <si>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</si>
  <si>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</si>
  <si>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</si>
  <si>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</si>
  <si>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</si>
  <si>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</si>
  <si>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</si>
  <si>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</si>
  <si>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</si>
  <si>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</si>
  <si>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</si>
  <si>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</si>
  <si>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</si>
  <si>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</si>
  <si>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</si>
  <si>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</si>
  <si>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</si>
  <si>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</si>
  <si>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</si>
  <si>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</si>
  <si>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</si>
  <si>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</si>
  <si>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</si>
  <si>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</si>
  <si>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</si>
  <si>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</si>
  <si>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</si>
  <si>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</si>
  <si>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</si>
  <si>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</si>
  <si>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</si>
  <si>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</si>
  <si>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</si>
  <si>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</si>
  <si>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</si>
  <si>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</si>
  <si>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</si>
  <si>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</si>
  <si>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</si>
  <si>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</si>
  <si>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</si>
  <si>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</si>
  <si>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</si>
  <si>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</si>
  <si>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</si>
  <si>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</si>
  <si>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</si>
  <si>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</si>
  <si>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</si>
  <si>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</si>
  <si>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</si>
  <si>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</si>
  <si>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</si>
  <si>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</si>
  <si>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</si>
  <si>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</si>
  <si>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</si>
  <si>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</si>
  <si>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</si>
  <si>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</si>
  <si>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</si>
  <si>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</si>
  <si>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</si>
  <si>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</si>
  <si>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</si>
  <si>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</si>
  <si>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</si>
  <si>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</si>
  <si>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</si>
  <si>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</si>
  <si>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</si>
  <si>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</si>
  <si>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</si>
  <si>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</si>
  <si>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</si>
  <si>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</si>
  <si>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</si>
  <si>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</si>
  <si>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</si>
  <si>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</si>
  <si>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</si>
  <si>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</si>
  <si>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</si>
  <si>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</si>
  <si>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</si>
  <si>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</si>
  <si>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</si>
  <si>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</si>
  <si>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</si>
  <si>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</si>
  <si>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</si>
  <si>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</si>
  <si>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</si>
  <si>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</si>
  <si>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</si>
  <si>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</si>
  <si>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</si>
  <si>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</si>
  <si>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</si>
  <si>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</si>
  <si>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</si>
  <si>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</si>
  <si>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</si>
  <si>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</si>
  <si>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</si>
  <si>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</si>
  <si>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</si>
  <si>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</si>
  <si>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</si>
  <si>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</si>
  <si>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</si>
  <si>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</si>
  <si>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</si>
  <si>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</si>
  <si>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</si>
  <si>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</si>
  <si>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</si>
  <si>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</si>
  <si>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</si>
  <si>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</si>
  <si>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</si>
  <si>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</si>
  <si>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</si>
  <si>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</si>
  <si>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</si>
  <si>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</si>
  <si>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</si>
  <si>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</si>
  <si>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</si>
  <si>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</si>
  <si>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</si>
  <si>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</si>
  <si>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</si>
  <si>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</si>
  <si>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</si>
  <si>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</si>
  <si>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</si>
  <si>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</si>
  <si>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</si>
  <si>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</si>
  <si>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</si>
  <si>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</si>
  <si>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</si>
  <si>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</si>
  <si>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</si>
  <si>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</si>
  <si>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</si>
  <si>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</si>
  <si>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</si>
  <si>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</si>
  <si>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</si>
  <si>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</si>
  <si>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</si>
  <si>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</si>
  <si>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</si>
  <si>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</si>
  <si>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</si>
  <si>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</si>
  <si>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</si>
  <si>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</si>
  <si>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</si>
  <si>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</si>
  <si>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</si>
  <si>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</si>
  <si>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</si>
  <si>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</si>
  <si>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</si>
  <si>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</si>
  <si>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</si>
  <si>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</si>
  <si>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</si>
  <si>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</si>
  <si>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</si>
  <si>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</si>
  <si>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</si>
  <si>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</si>
  <si>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</si>
  <si>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</si>
  <si>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</si>
  <si>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</si>
  <si>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</si>
  <si>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</si>
  <si>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</si>
  <si>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</si>
  <si>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</si>
  <si>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</si>
  <si>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</si>
  <si>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</si>
  <si>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</si>
  <si>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</si>
  <si>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</si>
  <si>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</si>
  <si>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</si>
  <si>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</si>
  <si>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</si>
  <si>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</si>
  <si>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</si>
  <si>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</si>
  <si>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</si>
  <si>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</si>
  <si>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</si>
  <si>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</si>
  <si>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</si>
  <si>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</si>
  <si>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</si>
  <si>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</si>
  <si>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</si>
  <si>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</si>
  <si>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</si>
  <si>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</si>
  <si>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</si>
  <si>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</si>
  <si>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</si>
  <si>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</si>
  <si>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</si>
  <si>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</si>
  <si>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</si>
  <si>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</si>
  <si>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</si>
  <si>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</si>
  <si>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</si>
  <si>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</si>
  <si>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</si>
  <si>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</si>
  <si>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</si>
  <si>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</si>
  <si>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</si>
  <si>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</si>
  <si>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</si>
  <si>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</si>
  <si>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</si>
  <si>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</si>
  <si>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</si>
  <si>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</si>
  <si>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</si>
  <si>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</si>
  <si>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</si>
  <si>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</si>
  <si>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</si>
  <si>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</si>
  <si>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</si>
  <si>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</si>
  <si>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</si>
  <si>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</si>
  <si>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</si>
  <si>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</si>
  <si>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</si>
  <si>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</si>
  <si>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</si>
  <si>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</si>
  <si>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</si>
  <si>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</si>
  <si>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</si>
  <si>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</si>
  <si>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</si>
  <si>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</si>
  <si>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</si>
  <si>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</si>
  <si>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</si>
  <si>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</si>
  <si>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</si>
  <si>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</si>
  <si>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</si>
  <si>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</si>
  <si>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</si>
  <si>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</si>
  <si>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</si>
  <si>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</si>
  <si>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</si>
  <si>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</si>
  <si>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</si>
  <si>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</si>
  <si>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</si>
  <si>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</si>
  <si>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</si>
  <si>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</si>
  <si>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</si>
  <si>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</si>
  <si>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</si>
  <si>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</si>
  <si>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</si>
  <si>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</si>
  <si>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</si>
  <si>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</si>
  <si>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</si>
  <si>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</si>
  <si>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</si>
  <si>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</si>
  <si>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</si>
  <si>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</si>
  <si>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</si>
  <si>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</si>
  <si>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</si>
  <si>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</si>
  <si>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</si>
  <si>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</si>
  <si>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</si>
  <si>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</si>
  <si>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</si>
  <si>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</si>
  <si>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</si>
  <si>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</si>
  <si>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</si>
  <si>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</si>
  <si>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</si>
  <si>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</si>
  <si>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</si>
  <si>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</si>
  <si>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</si>
  <si>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</si>
  <si>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</si>
  <si>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</si>
  <si>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</si>
  <si>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</si>
  <si>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</si>
  <si>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</si>
  <si>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</si>
  <si>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</si>
  <si>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</si>
  <si>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</si>
  <si>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</si>
  <si>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</si>
  <si>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</si>
  <si>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</si>
  <si>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</si>
  <si>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</si>
  <si>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</si>
  <si>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</si>
  <si>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</si>
  <si>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</si>
  <si>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</si>
  <si>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</si>
  <si>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</si>
  <si>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</si>
  <si>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</si>
  <si>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</si>
  <si>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</si>
  <si>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</si>
  <si>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</si>
  <si>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</si>
  <si>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</si>
  <si>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</si>
  <si>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</si>
  <si>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</si>
  <si>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</si>
  <si>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</si>
  <si>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</si>
  <si>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</si>
  <si>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</si>
  <si>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</si>
  <si>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</si>
  <si>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</si>
  <si>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</si>
  <si>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</si>
  <si>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</si>
  <si>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</si>
  <si>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</si>
  <si>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</si>
  <si>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</si>
  <si>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</si>
  <si>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</si>
  <si>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</si>
  <si>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</si>
  <si>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</si>
  <si>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</si>
  <si>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</si>
  <si>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</si>
  <si>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</si>
  <si>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</si>
  <si>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</si>
  <si>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</si>
  <si>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</si>
  <si>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</si>
  <si>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</si>
  <si>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</si>
  <si>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</si>
  <si>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</si>
  <si>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</si>
  <si>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</si>
  <si>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</si>
  <si>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</si>
  <si>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</si>
  <si>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</si>
  <si>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</si>
  <si>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</si>
  <si>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</si>
  <si>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</si>
  <si>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</si>
  <si>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</si>
  <si>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</si>
  <si>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</si>
  <si>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</si>
  <si>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</si>
  <si>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</si>
  <si>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</si>
  <si>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</si>
  <si>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</si>
  <si>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</si>
  <si>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</si>
  <si>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</si>
  <si>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</si>
  <si>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</si>
  <si>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</si>
  <si>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</si>
  <si>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</si>
  <si>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</si>
  <si>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</si>
  <si>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</si>
  <si>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</si>
  <si>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</si>
  <si>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</si>
  <si>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</si>
  <si>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</si>
  <si>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</si>
  <si>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</si>
  <si>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</si>
  <si>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</si>
  <si>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</si>
  <si>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</si>
  <si>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</si>
  <si>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</si>
  <si>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</si>
  <si>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</si>
  <si>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</si>
  <si>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</si>
  <si>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</si>
  <si>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</si>
  <si>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</si>
  <si>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</si>
  <si>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</si>
  <si>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</si>
  <si>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</si>
  <si>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</si>
  <si>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</si>
  <si>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</si>
  <si>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</si>
  <si>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</si>
  <si>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</si>
  <si>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</si>
  <si>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</si>
  <si>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</si>
  <si>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</si>
  <si>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</si>
  <si>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</si>
  <si>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</si>
  <si>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</si>
  <si>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</si>
  <si>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</si>
  <si>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</si>
  <si>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</si>
  <si>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</si>
  <si>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</si>
  <si>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</si>
  <si>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</si>
  <si>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</si>
  <si>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</si>
  <si>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</si>
  <si>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</si>
  <si>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</si>
  <si>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</si>
  <si>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</si>
  <si>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</si>
  <si>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</si>
  <si>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</si>
  <si>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</si>
  <si>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</si>
  <si>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</si>
  <si>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</si>
  <si>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</si>
  <si>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</si>
  <si>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</si>
  <si>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</si>
  <si>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</si>
  <si>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</si>
  <si>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</si>
  <si>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</si>
  <si>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</si>
  <si>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</si>
  <si>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</si>
  <si>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</si>
  <si>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</si>
  <si>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</si>
  <si>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</si>
  <si>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</si>
  <si>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</si>
  <si>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</si>
  <si>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</si>
  <si>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</si>
  <si>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</si>
  <si>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</si>
  <si>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</si>
  <si>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</si>
  <si>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</si>
  <si>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</si>
  <si>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</si>
  <si>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</si>
  <si>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</si>
  <si>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</si>
  <si>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</si>
  <si>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</si>
  <si>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</si>
  <si>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</si>
  <si>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</si>
  <si>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</si>
  <si>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</si>
  <si>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</si>
  <si>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</si>
  <si>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</si>
  <si>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</si>
  <si>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</si>
  <si>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</si>
  <si>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</si>
  <si>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</si>
  <si>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</si>
  <si>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</si>
  <si>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</si>
  <si>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</si>
  <si>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</si>
  <si>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</si>
  <si>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</si>
  <si>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</si>
  <si>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</si>
  <si>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</si>
  <si>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</si>
  <si>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</si>
  <si>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</si>
  <si>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</si>
  <si>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</si>
  <si>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</si>
  <si>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</si>
  <si>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</si>
  <si>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</si>
  <si>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</si>
  <si>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</si>
  <si>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</si>
  <si>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</si>
  <si>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</si>
  <si>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</si>
  <si>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</si>
  <si>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</si>
  <si>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</si>
  <si>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</si>
  <si>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</si>
  <si>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</si>
  <si>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</si>
  <si>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</si>
  <si>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</si>
  <si>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</si>
  <si>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</si>
  <si>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</si>
  <si>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</si>
  <si>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</si>
  <si>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</si>
  <si>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</si>
  <si>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</si>
  <si>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</si>
  <si>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</si>
  <si>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</si>
  <si>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</si>
  <si>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</si>
  <si>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</si>
  <si>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</si>
  <si>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</si>
  <si>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</si>
  <si>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</si>
  <si>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</si>
  <si>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</si>
  <si>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</si>
  <si>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</si>
  <si>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</si>
  <si>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</si>
  <si>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</si>
  <si>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</si>
  <si>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</si>
  <si>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</si>
  <si>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</si>
  <si>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</si>
  <si>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</si>
  <si>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</si>
  <si>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</si>
  <si>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</si>
  <si>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</si>
  <si>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</si>
  <si>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</si>
  <si>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</si>
  <si>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</si>
  <si>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</si>
  <si>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</si>
  <si>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</si>
  <si>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</si>
  <si>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</si>
  <si>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</si>
  <si>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</si>
  <si>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</si>
  <si>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</si>
  <si>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</si>
  <si>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</si>
  <si>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</si>
  <si>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</si>
  <si>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</si>
  <si>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</si>
  <si>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</si>
  <si>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</si>
  <si>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</si>
  <si>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</si>
  <si>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</si>
  <si>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</si>
  <si>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</si>
  <si>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</si>
  <si>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</si>
  <si>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</si>
  <si>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</si>
  <si>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</si>
  <si>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</si>
  <si>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</si>
  <si>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</si>
  <si>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</si>
  <si>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</si>
  <si>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</si>
  <si>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</si>
  <si>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</si>
  <si>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</si>
  <si>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</si>
  <si>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</si>
  <si>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</si>
  <si>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</si>
  <si>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</si>
  <si>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</si>
  <si>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</si>
  <si>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</si>
  <si>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</si>
  <si>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</si>
  <si>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</si>
  <si>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</si>
  <si>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</si>
  <si>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</si>
  <si>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</si>
  <si>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</si>
  <si>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</si>
  <si>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</si>
  <si>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</si>
  <si>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</si>
  <si>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</si>
  <si>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</si>
  <si>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</si>
  <si>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</si>
  <si>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</si>
  <si>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</si>
  <si>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</si>
  <si>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</si>
  <si>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</si>
  <si>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</si>
  <si>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</si>
  <si>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</si>
  <si>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</si>
  <si>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</si>
  <si>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</si>
  <si>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</si>
  <si>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</si>
  <si>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</si>
  <si>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</si>
  <si>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</si>
  <si>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</si>
  <si>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</si>
  <si>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</si>
  <si>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</si>
  <si>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</si>
  <si>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</si>
  <si>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</si>
  <si>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</si>
  <si>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</si>
  <si>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</si>
  <si>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</si>
  <si>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</si>
  <si>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</si>
  <si>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</si>
  <si>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</si>
  <si>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</si>
  <si>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</si>
  <si>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</si>
  <si>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</si>
  <si>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</si>
  <si>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</si>
  <si>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</si>
  <si>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</si>
  <si>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</si>
  <si>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</si>
  <si>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</si>
  <si>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</si>
  <si>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</si>
  <si>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</si>
  <si>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</si>
  <si>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</si>
  <si>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</si>
  <si>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</si>
  <si>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</si>
  <si>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</si>
  <si>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</si>
  <si>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</si>
  <si>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</si>
  <si>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</si>
  <si>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</si>
  <si>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</si>
  <si>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</si>
  <si>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</si>
  <si>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</si>
  <si>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</si>
  <si>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</si>
  <si>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</si>
  <si>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</si>
  <si>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</si>
  <si>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</si>
  <si>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</si>
  <si>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</si>
  <si>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</si>
  <si>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</si>
  <si>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</si>
  <si>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</si>
  <si>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</si>
  <si>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</si>
  <si>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</si>
  <si>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</si>
  <si>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</si>
  <si>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</si>
  <si>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</si>
  <si>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</si>
  <si>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</si>
  <si>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</si>
  <si>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</si>
  <si>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</si>
  <si>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</si>
  <si>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</si>
  <si>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</si>
  <si>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</si>
  <si>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</si>
  <si>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</si>
  <si>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</si>
  <si>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</si>
  <si>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</si>
  <si>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</si>
  <si>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</si>
  <si>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</si>
  <si>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</si>
  <si>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</si>
  <si>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</si>
  <si>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</si>
  <si>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</si>
  <si>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</si>
  <si>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</si>
  <si>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</si>
  <si>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</si>
  <si>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</si>
  <si>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</si>
  <si>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</si>
  <si>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</si>
  <si>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</si>
  <si>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</si>
  <si>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</si>
  <si>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</si>
  <si>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</si>
  <si>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</si>
  <si>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</si>
  <si>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</si>
  <si>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</si>
  <si>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</si>
  <si>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</si>
  <si>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</si>
  <si>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</si>
  <si>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</si>
  <si>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</si>
  <si>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</si>
  <si>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</si>
  <si>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</si>
  <si>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</si>
  <si>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</si>
  <si>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</si>
  <si>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</si>
  <si>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</si>
  <si>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</si>
  <si>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</si>
  <si>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</si>
  <si>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</si>
  <si>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</si>
  <si>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</si>
  <si>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</si>
  <si>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</si>
  <si>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</si>
  <si>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</si>
  <si>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</si>
  <si>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</si>
  <si>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</si>
  <si>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</si>
  <si>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</si>
  <si>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</si>
  <si>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</si>
  <si>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</si>
  <si>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</si>
  <si>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</si>
  <si>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</si>
  <si>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</si>
  <si>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</si>
  <si>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</si>
  <si>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</si>
  <si>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</si>
  <si>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</si>
  <si>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</si>
  <si>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</si>
  <si>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</si>
  <si>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</si>
  <si>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</si>
  <si>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</si>
  <si>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</si>
  <si>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</si>
  <si>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</si>
  <si>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</si>
  <si>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</si>
  <si>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</si>
  <si>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</si>
  <si>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</si>
  <si>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</si>
  <si>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</si>
  <si>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</si>
  <si>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</si>
  <si>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</si>
  <si>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</si>
  <si>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</si>
  <si>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</si>
  <si>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</si>
  <si>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</si>
  <si>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</si>
  <si>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</si>
  <si>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</si>
  <si>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</si>
  <si>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</si>
  <si>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</si>
  <si>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</si>
  <si>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</si>
  <si>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</si>
  <si>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</si>
  <si>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</si>
  <si>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</si>
  <si>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</si>
  <si>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</si>
  <si>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</si>
  <si>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</si>
  <si>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</si>
  <si>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</si>
  <si>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</si>
  <si>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</si>
  <si>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</si>
  <si>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</si>
  <si>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</si>
  <si>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</si>
  <si>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</si>
  <si>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</si>
  <si>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</si>
  <si>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</si>
  <si>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</si>
  <si>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</si>
  <si>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</si>
  <si>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</si>
  <si>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</si>
  <si>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</si>
  <si>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</si>
  <si>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</si>
  <si>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</si>
  <si>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</si>
  <si>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</si>
  <si>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</si>
  <si>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</si>
  <si>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</si>
  <si>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</si>
  <si>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</si>
  <si>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</si>
  <si>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</si>
  <si>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</si>
  <si>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</si>
  <si>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</si>
  <si>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</si>
  <si>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</si>
  <si>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</si>
  <si>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</si>
  <si>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</si>
  <si>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</si>
  <si>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</si>
  <si>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</si>
  <si>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</si>
  <si>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</si>
  <si>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</si>
  <si>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</si>
  <si>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</si>
  <si>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</si>
  <si>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</si>
  <si>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</si>
  <si>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</si>
  <si>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</si>
  <si>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</si>
  <si>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</si>
  <si>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</si>
  <si>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</si>
  <si>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</si>
  <si>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</si>
  <si>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</si>
  <si>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</si>
  <si>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</si>
  <si>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</si>
  <si>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</si>
  <si>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</si>
  <si>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</si>
  <si>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</si>
  <si>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</si>
  <si>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</si>
  <si>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</si>
  <si>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</si>
  <si>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</si>
  <si>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</si>
  <si>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</si>
  <si>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</si>
  <si>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</si>
  <si>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</si>
  <si>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</si>
  <si>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</si>
  <si>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</si>
  <si>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</si>
  <si>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</si>
  <si>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</si>
  <si>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</si>
  <si>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</si>
  <si>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</si>
  <si>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</si>
  <si>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</si>
  <si>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</si>
  <si>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</si>
  <si>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</si>
  <si>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</si>
  <si>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</si>
  <si>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</si>
  <si>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</si>
  <si>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</si>
  <si>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</si>
  <si>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</si>
  <si>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</si>
  <si>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</si>
  <si>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</si>
  <si>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</si>
  <si>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</si>
  <si>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</si>
  <si>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</si>
  <si>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</si>
  <si>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</si>
  <si>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</si>
  <si>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</si>
  <si>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</si>
  <si>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</si>
  <si>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</si>
  <si>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</si>
  <si>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</si>
  <si>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</si>
  <si>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</si>
  <si>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</si>
  <si>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</si>
  <si>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</si>
  <si>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</si>
  <si>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</si>
  <si>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</si>
  <si>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</si>
  <si>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</si>
  <si>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</si>
  <si>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</si>
  <si>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</si>
  <si>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</si>
  <si>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</si>
  <si>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</si>
  <si>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</si>
  <si>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</si>
  <si>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</si>
  <si>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</si>
  <si>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</si>
  <si>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</si>
  <si>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</si>
  <si>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</si>
  <si>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</si>
  <si>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</si>
  <si>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</si>
  <si>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</si>
  <si>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</si>
  <si>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</si>
  <si>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</si>
  <si>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</si>
  <si>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</si>
  <si>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</si>
  <si>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</si>
  <si>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</si>
  <si>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</si>
  <si>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</si>
  <si>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</si>
  <si>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</si>
  <si>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</si>
  <si>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</si>
  <si>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</si>
  <si>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</si>
  <si>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</si>
  <si>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</si>
  <si>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</si>
  <si>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</si>
  <si>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</si>
  <si>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</si>
  <si>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</si>
  <si>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</si>
  <si>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</si>
  <si>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</si>
  <si>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</si>
  <si>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</si>
  <si>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</si>
  <si>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</si>
  <si>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</si>
  <si>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</si>
  <si>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</si>
  <si>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</si>
  <si>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</si>
  <si>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</si>
  <si>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</si>
  <si>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</si>
  <si>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</si>
  <si>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</si>
  <si>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</si>
  <si>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</si>
  <si>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</si>
  <si>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</si>
  <si>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</si>
  <si>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</si>
  <si>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</si>
  <si>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</si>
  <si>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</si>
  <si>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</si>
  <si>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</si>
  <si>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</si>
  <si>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</si>
  <si>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</si>
  <si>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</si>
  <si>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</si>
  <si>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</si>
  <si>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</si>
  <si>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</si>
  <si>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</si>
  <si>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</si>
  <si>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</si>
  <si>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</si>
  <si>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</si>
  <si>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</si>
  <si>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</si>
  <si>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</si>
  <si>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</si>
  <si>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</si>
  <si>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</si>
  <si>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</si>
  <si>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</si>
  <si>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</si>
  <si>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</si>
  <si>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</si>
  <si>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</si>
  <si>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</si>
  <si>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</si>
  <si>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</si>
  <si>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</si>
  <si>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</si>
  <si>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</si>
  <si>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</si>
  <si>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</si>
  <si>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</si>
  <si>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</si>
  <si>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</si>
  <si>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</si>
  <si>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</si>
  <si>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</si>
  <si>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</si>
  <si>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</si>
  <si>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</si>
  <si>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</si>
  <si>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</si>
  <si>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</si>
  <si>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</si>
  <si>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</si>
  <si>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</si>
  <si>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</si>
  <si>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</si>
  <si>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</si>
  <si>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</si>
  <si>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</si>
  <si>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</si>
  <si>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</si>
  <si>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</si>
  <si>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</si>
  <si>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</si>
  <si>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</si>
  <si>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</si>
  <si>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</si>
  <si>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</si>
  <si>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</si>
  <si>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</si>
  <si>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</si>
  <si>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</si>
  <si>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</si>
  <si>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</si>
  <si>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</si>
  <si>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</si>
  <si>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</si>
  <si>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</si>
  <si>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</si>
  <si>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</si>
  <si>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</si>
  <si>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</si>
  <si>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</si>
  <si>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</si>
  <si>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</si>
  <si>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</si>
  <si>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</si>
  <si>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</si>
  <si>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</si>
  <si>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</si>
  <si>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</si>
  <si>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</si>
  <si>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</si>
  <si>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</si>
  <si>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</si>
  <si>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</si>
  <si>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</si>
  <si>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</si>
  <si>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</si>
  <si>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</si>
  <si>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</si>
  <si>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</si>
  <si>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</si>
  <si>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</si>
  <si>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</si>
  <si>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</si>
  <si>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</si>
  <si>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</si>
  <si>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</si>
  <si>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</si>
  <si>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</si>
  <si>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</si>
  <si>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</si>
  <si>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</si>
  <si>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</si>
  <si>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</si>
  <si>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</si>
  <si>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</si>
  <si>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</si>
  <si>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</si>
  <si>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</si>
  <si>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</si>
  <si>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</si>
  <si>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</si>
  <si>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</si>
  <si>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</si>
  <si>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</si>
  <si>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</si>
  <si>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</si>
  <si>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</si>
  <si>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</si>
  <si>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</si>
  <si>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</si>
  <si>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</si>
  <si>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</si>
  <si>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</si>
  <si>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</si>
  <si>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</si>
  <si>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</si>
  <si>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</si>
  <si>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</si>
  <si>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</si>
  <si>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</si>
  <si>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</si>
  <si>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</si>
  <si>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</si>
  <si>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</si>
  <si>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</si>
  <si>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</si>
  <si>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</si>
  <si>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</si>
  <si>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</si>
  <si>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</si>
  <si>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</si>
  <si>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</si>
  <si>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</si>
  <si>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</si>
  <si>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</si>
  <si>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</si>
  <si>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</si>
  <si>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</si>
  <si>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</si>
  <si>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</si>
  <si>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</si>
  <si>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</si>
  <si>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</si>
  <si>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</si>
  <si>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</si>
  <si>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</si>
  <si>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</si>
  <si>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</si>
  <si>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</si>
  <si>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</si>
  <si>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</si>
  <si>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</si>
  <si>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</si>
  <si>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</si>
  <si>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</si>
  <si>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</si>
  <si>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</si>
  <si>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</si>
  <si>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</si>
  <si>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</si>
  <si>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</si>
  <si>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</si>
  <si>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</si>
  <si>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</si>
  <si>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</si>
  <si>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</si>
  <si>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</si>
  <si>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</si>
  <si>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</si>
  <si>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</si>
  <si>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</si>
  <si>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</si>
  <si>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</si>
  <si>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</si>
  <si>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</si>
  <si>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</si>
  <si>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</si>
  <si>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</si>
  <si>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</si>
  <si>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</si>
  <si>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</si>
  <si>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</si>
  <si>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</si>
  <si>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</si>
  <si>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</si>
  <si>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</si>
  <si>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</si>
  <si>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</si>
  <si>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</si>
  <si>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</si>
  <si>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</si>
  <si>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</si>
  <si>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</si>
  <si>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</si>
  <si>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</si>
  <si>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</si>
  <si>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</si>
  <si>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</si>
  <si>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</si>
  <si>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</si>
  <si>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</si>
  <si>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</si>
  <si>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</si>
  <si>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</si>
  <si>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</si>
  <si>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</si>
  <si>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</si>
  <si>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</si>
  <si>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</si>
  <si>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</si>
  <si>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</si>
  <si>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</si>
  <si>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</si>
  <si>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</si>
  <si>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</si>
  <si>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</si>
  <si>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</si>
  <si>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</si>
  <si>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</si>
  <si>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</si>
  <si>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</si>
  <si>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</si>
  <si>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</si>
  <si>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</si>
  <si>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</si>
  <si>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</si>
  <si>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</si>
  <si>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</si>
  <si>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</si>
  <si>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</si>
  <si>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</si>
  <si>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</si>
  <si>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</si>
  <si>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</si>
  <si>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</si>
  <si>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</si>
  <si>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</si>
  <si>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</si>
  <si>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</si>
  <si>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</si>
  <si>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</si>
  <si>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</si>
  <si>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</si>
  <si>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</si>
  <si>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</si>
  <si>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</si>
  <si>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</si>
  <si>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</si>
  <si>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</si>
  <si>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</si>
  <si>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</si>
  <si>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</si>
  <si>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</si>
  <si>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</si>
  <si>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</si>
  <si>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</si>
  <si>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</si>
  <si>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</si>
  <si>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</si>
  <si>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</si>
  <si>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</si>
  <si>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</si>
  <si>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</si>
  <si>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</si>
  <si>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</si>
  <si>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</si>
  <si>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</si>
  <si>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</si>
  <si>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</si>
  <si>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</si>
  <si>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</si>
  <si>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</si>
  <si>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</si>
  <si>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</si>
  <si>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</si>
  <si>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</si>
  <si>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</si>
  <si>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</si>
  <si>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</si>
  <si>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</si>
  <si>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</si>
  <si>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</si>
  <si>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</si>
  <si>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</si>
  <si>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</si>
  <si>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</si>
  <si>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</si>
  <si>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</si>
  <si>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</si>
  <si>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</si>
  <si>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</si>
  <si>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</si>
  <si>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</si>
  <si>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</si>
  <si>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</si>
  <si>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</si>
  <si>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</si>
  <si>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</si>
  <si>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</si>
  <si>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</si>
  <si>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</si>
  <si>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</si>
  <si>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</si>
  <si>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</si>
  <si>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</si>
  <si>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</si>
  <si>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</si>
  <si>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</si>
  <si>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</si>
  <si>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</si>
  <si>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</si>
  <si>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</si>
  <si>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</si>
  <si>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</si>
  <si>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</si>
  <si>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</si>
  <si>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</si>
  <si>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</si>
  <si>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</si>
  <si>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</si>
  <si>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</si>
  <si>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</si>
  <si>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</si>
  <si>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</si>
  <si>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</si>
  <si>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</si>
  <si>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</si>
  <si>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</si>
  <si>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</si>
  <si>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</si>
  <si>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</si>
  <si>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</si>
  <si>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</si>
  <si>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</si>
  <si>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</si>
  <si>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</si>
  <si>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</si>
  <si>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</si>
  <si>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</si>
  <si>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</si>
  <si>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</si>
  <si>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</si>
  <si>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</si>
  <si>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</si>
  <si>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</si>
  <si>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</si>
  <si>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</si>
  <si>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</si>
  <si>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</si>
  <si>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</si>
  <si>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</si>
  <si>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</si>
  <si>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</si>
  <si>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</si>
  <si>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</si>
  <si>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</si>
  <si>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</si>
  <si>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</si>
  <si>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</si>
  <si>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</si>
  <si>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</si>
  <si>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</si>
  <si>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</si>
  <si>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</si>
  <si>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</si>
  <si>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</si>
  <si>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</si>
  <si>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</si>
  <si>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</si>
  <si>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</si>
  <si>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</si>
  <si>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</si>
  <si>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</si>
  <si>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</si>
  <si>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</si>
  <si>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</si>
  <si>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</si>
  <si>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</si>
  <si>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</si>
  <si>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</si>
  <si>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</si>
  <si>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</si>
  <si>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</si>
  <si>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</si>
  <si>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</si>
  <si>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</si>
  <si>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</si>
  <si>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</si>
  <si>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</si>
  <si>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</si>
  <si>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</si>
  <si>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</si>
  <si>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</si>
  <si>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</si>
  <si>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</si>
  <si>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</si>
  <si>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</si>
  <si>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</si>
  <si>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</si>
  <si>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</si>
  <si>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</si>
  <si>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</si>
  <si>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</si>
  <si>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</si>
  <si>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</si>
  <si>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</si>
  <si>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</si>
  <si>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</si>
  <si>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</si>
  <si>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</si>
  <si>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</si>
  <si>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</si>
  <si>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</si>
  <si>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</si>
  <si>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</si>
  <si>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</si>
  <si>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</si>
  <si>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</si>
  <si>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</si>
  <si>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</si>
  <si>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</si>
  <si>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</si>
  <si>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</si>
  <si>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</si>
  <si>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</si>
  <si>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</si>
  <si>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</si>
  <si>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</si>
  <si>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</si>
  <si>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</si>
  <si>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</si>
  <si>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</si>
  <si>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</si>
  <si>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</si>
  <si>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</si>
  <si>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</si>
  <si>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</si>
  <si>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</si>
  <si>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</si>
  <si>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</si>
  <si>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</si>
  <si>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</si>
  <si>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</si>
  <si>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</si>
  <si>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</si>
  <si>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</si>
  <si>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</si>
  <si>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</si>
  <si>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</si>
  <si>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</si>
  <si>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</si>
  <si>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</si>
  <si>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</si>
  <si>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</si>
  <si>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</si>
  <si>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</si>
  <si>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</si>
  <si>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</si>
  <si>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</si>
  <si>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</si>
  <si>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</si>
  <si>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</si>
  <si>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</si>
  <si>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</si>
  <si>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</si>
  <si>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</si>
  <si>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</si>
  <si>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</si>
  <si>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</si>
  <si>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</si>
  <si>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</si>
  <si>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</si>
  <si>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</si>
  <si>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</si>
  <si>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</si>
  <si>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</si>
  <si>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</si>
  <si>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</si>
  <si>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</si>
  <si>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</si>
  <si>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</si>
  <si>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</si>
  <si>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</si>
  <si>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</si>
  <si>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</si>
  <si>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</si>
  <si>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</si>
  <si>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</si>
  <si>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</si>
  <si>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</si>
  <si>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</si>
  <si>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</si>
  <si>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</si>
  <si>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</si>
  <si>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</si>
  <si>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</si>
  <si>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</si>
  <si>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</si>
  <si>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</si>
  <si>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</si>
  <si>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</si>
  <si>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</si>
  <si>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</si>
  <si>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</si>
  <si>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</si>
  <si>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</si>
  <si>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</si>
  <si>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</si>
  <si>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</si>
  <si>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</si>
  <si>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</si>
  <si>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</si>
  <si>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</si>
  <si>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</si>
  <si>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</si>
  <si>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</si>
  <si>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</si>
  <si>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</si>
  <si>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</si>
  <si>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</si>
  <si>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</si>
  <si>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</si>
  <si>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</si>
  <si>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</si>
  <si>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</si>
  <si>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</si>
  <si>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</si>
  <si>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</si>
  <si>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</si>
  <si>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</si>
  <si>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</si>
  <si>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</si>
  <si>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</si>
  <si>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</si>
  <si>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</si>
  <si>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</si>
  <si>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</si>
  <si>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</si>
  <si>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</si>
  <si>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</si>
  <si>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</si>
  <si>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</si>
  <si>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</si>
  <si>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</si>
  <si>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</si>
  <si>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</si>
  <si>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</si>
  <si>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</si>
  <si>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</si>
  <si>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</si>
  <si>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</si>
  <si>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</si>
  <si>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</si>
  <si>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</si>
  <si>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</si>
  <si>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</si>
  <si>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</si>
  <si>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</si>
  <si>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</si>
  <si>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</si>
  <si>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</si>
  <si>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</si>
  <si>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</si>
  <si>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</si>
  <si>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</si>
  <si>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</si>
  <si>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</si>
  <si>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</si>
  <si>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</si>
  <si>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</si>
  <si>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</si>
  <si>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</si>
  <si>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</si>
  <si>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</si>
  <si>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</si>
  <si>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</si>
  <si>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</si>
  <si>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</si>
  <si>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</si>
  <si>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</si>
  <si>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</si>
  <si>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</si>
  <si>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</si>
  <si>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</si>
  <si>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</si>
  <si>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</si>
  <si>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</si>
  <si>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</si>
  <si>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</si>
  <si>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</si>
  <si>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</si>
  <si>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</si>
  <si>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</si>
  <si>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</si>
  <si>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</si>
  <si>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</si>
  <si>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</si>
  <si>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</si>
  <si>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</si>
  <si>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</si>
  <si>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</si>
  <si>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</si>
  <si>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</si>
  <si>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</si>
  <si>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</si>
  <si>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</si>
  <si>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</si>
  <si>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</si>
  <si>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</si>
  <si>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</si>
  <si>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</si>
  <si>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</si>
  <si>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</si>
  <si>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</si>
  <si>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</si>
  <si>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</si>
  <si>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</si>
  <si>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</si>
  <si>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</si>
  <si>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</si>
  <si>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</si>
  <si>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</si>
  <si>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</si>
  <si>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</si>
  <si>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</si>
  <si>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</si>
  <si>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</si>
  <si>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</si>
  <si>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</si>
  <si>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</si>
  <si>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</si>
  <si>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</si>
  <si>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</si>
  <si>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</si>
  <si>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</si>
  <si>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</si>
  <si>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</si>
  <si>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</si>
  <si>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</si>
  <si>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</si>
  <si>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</si>
  <si>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</si>
  <si>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</si>
  <si>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</si>
  <si>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</si>
  <si>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</si>
  <si>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</si>
  <si>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</si>
  <si>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</si>
  <si>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</si>
  <si>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</si>
  <si>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</si>
  <si>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</si>
  <si>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</si>
  <si>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</si>
  <si>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</si>
  <si>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</si>
  <si>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</si>
  <si>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</si>
  <si>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</si>
  <si>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</si>
  <si>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</si>
  <si>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</si>
  <si>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</si>
  <si>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</si>
  <si>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</si>
  <si>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</si>
  <si>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</si>
  <si>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</si>
  <si>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</si>
  <si>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</si>
  <si>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</si>
  <si>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</si>
  <si>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</si>
  <si>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</si>
  <si>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</si>
  <si>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</si>
  <si>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</si>
  <si>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</si>
  <si>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</si>
  <si>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</si>
  <si>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</si>
  <si>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</si>
  <si>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</si>
  <si>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</si>
  <si>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</si>
  <si>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</si>
  <si>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</si>
  <si>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</si>
  <si>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</si>
  <si>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</si>
  <si>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</si>
  <si>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</si>
  <si>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</si>
  <si>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</si>
  <si>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</si>
  <si>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</si>
  <si>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</si>
  <si>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</si>
  <si>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</si>
  <si>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</si>
  <si>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</si>
  <si>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</si>
  <si>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</si>
  <si>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</si>
  <si>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</si>
  <si>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</si>
  <si>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</si>
  <si>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</si>
  <si>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</si>
  <si>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</si>
  <si>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</si>
  <si>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</si>
  <si>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</si>
  <si>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</si>
  <si>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</si>
  <si>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</si>
  <si>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</si>
  <si>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</si>
  <si>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</si>
  <si>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</si>
  <si>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</si>
  <si>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</si>
  <si>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</si>
  <si>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</si>
  <si>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</si>
  <si>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</si>
  <si>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</si>
  <si>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</si>
  <si>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</si>
  <si>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</si>
  <si>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</si>
  <si>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</si>
  <si>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</si>
  <si>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</si>
  <si>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</si>
  <si>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</si>
  <si>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</si>
  <si>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</si>
  <si>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</si>
  <si>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</si>
  <si>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</si>
  <si>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</si>
  <si>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</si>
  <si>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</si>
  <si>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</si>
  <si>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</si>
  <si>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</si>
  <si>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</si>
  <si>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</si>
  <si>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</si>
  <si>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</si>
  <si>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</si>
  <si>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</si>
  <si>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</si>
  <si>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</si>
  <si>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</si>
  <si>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</si>
  <si>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</si>
  <si>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</si>
  <si>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</si>
  <si>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</si>
  <si>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</si>
  <si>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</si>
  <si>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</si>
  <si>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</si>
  <si>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</si>
  <si>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</si>
  <si>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</si>
  <si>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</si>
  <si>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</si>
  <si>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</si>
  <si>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</si>
  <si>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</si>
  <si>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</si>
  <si>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</si>
  <si>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</si>
  <si>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</si>
  <si>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</si>
  <si>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</si>
  <si>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</si>
  <si>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</si>
  <si>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</si>
  <si>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</si>
  <si>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</si>
  <si>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</si>
  <si>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</si>
  <si>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</si>
  <si>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</si>
  <si>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</si>
  <si>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</si>
  <si>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</si>
  <si>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</si>
  <si>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</si>
  <si>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</si>
  <si>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</si>
  <si>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</si>
  <si>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</si>
  <si>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</si>
  <si>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</si>
  <si>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</si>
  <si>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</si>
  <si>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</si>
  <si>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</si>
  <si>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</si>
  <si>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</si>
  <si>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</si>
  <si>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</si>
  <si>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</si>
  <si>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</si>
  <si>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</si>
  <si>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</si>
  <si>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</si>
  <si>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</si>
  <si>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</si>
  <si>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</si>
  <si>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</si>
  <si>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</si>
  <si>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</si>
  <si>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</si>
  <si>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</si>
  <si>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</si>
  <si>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</si>
  <si>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</si>
  <si>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</si>
  <si>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</si>
  <si>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</si>
  <si>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</si>
  <si>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</si>
  <si>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</si>
  <si>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</si>
  <si>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</si>
  <si>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</si>
  <si>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</si>
  <si>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</si>
  <si>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</si>
  <si>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</si>
  <si>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</si>
  <si>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</si>
  <si>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</si>
  <si>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</si>
  <si>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</si>
  <si>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</si>
  <si>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</si>
  <si>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</si>
  <si>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</si>
  <si>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</si>
  <si>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</si>
  <si>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</si>
  <si>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</si>
  <si>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</si>
  <si>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</si>
  <si>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</si>
  <si>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</si>
  <si>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</si>
  <si>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</si>
  <si>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</si>
  <si>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</si>
  <si>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</si>
  <si>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</si>
  <si>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</si>
  <si>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</si>
  <si>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</si>
  <si>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</si>
  <si>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</si>
  <si>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</si>
  <si>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</si>
  <si>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</si>
  <si>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</si>
  <si>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</si>
  <si>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</si>
  <si>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</si>
  <si>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</si>
  <si>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</si>
  <si>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</si>
  <si>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</si>
  <si>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</si>
  <si>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</si>
  <si>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</si>
  <si>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</si>
  <si>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</si>
  <si>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</si>
  <si>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</si>
  <si>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</si>
  <si>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</si>
  <si>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</si>
  <si>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</si>
  <si>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</si>
  <si>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</si>
  <si>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</si>
  <si>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</si>
  <si>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</si>
  <si>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</si>
  <si>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</si>
  <si>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</si>
  <si>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</si>
  <si>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</si>
  <si>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</si>
  <si>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</si>
  <si>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</si>
  <si>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</si>
  <si>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</si>
  <si>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</si>
  <si>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</si>
  <si>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</si>
  <si>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</si>
  <si>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</si>
  <si>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</si>
  <si>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</si>
  <si>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</si>
  <si>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</si>
  <si>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</si>
  <si>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</si>
  <si>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</si>
  <si>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</si>
  <si>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</si>
  <si>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</si>
  <si>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</si>
  <si>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</si>
  <si>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</si>
  <si>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</si>
  <si>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</si>
  <si>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</si>
  <si>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</si>
  <si>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</si>
  <si>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</si>
  <si>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</si>
  <si>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</si>
  <si>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</si>
  <si>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</si>
  <si>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</si>
  <si>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</si>
  <si>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</si>
  <si>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</si>
  <si>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</si>
  <si>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</si>
  <si>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</si>
  <si>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</si>
  <si>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</si>
  <si>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</si>
  <si>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</si>
  <si>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</si>
  <si>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</si>
  <si>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</si>
  <si>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</si>
  <si>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</si>
  <si>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</si>
  <si>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</si>
  <si>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</si>
  <si>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</si>
  <si>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</si>
  <si>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</si>
  <si>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</si>
  <si>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</si>
  <si>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</si>
  <si>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</si>
  <si>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</si>
  <si>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</si>
  <si>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</si>
  <si>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</si>
  <si>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</si>
  <si>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</si>
  <si>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</si>
  <si>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</si>
  <si>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</si>
  <si>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</si>
  <si>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</si>
  <si>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</si>
  <si>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</si>
  <si>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</si>
  <si>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</si>
  <si>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</si>
  <si>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</si>
  <si>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</si>
  <si>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</si>
  <si>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</si>
  <si>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</si>
  <si>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</si>
  <si>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</si>
  <si>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</si>
  <si>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</si>
  <si>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</si>
  <si>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</si>
  <si>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</si>
  <si>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</si>
  <si>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</si>
  <si>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</si>
  <si>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</si>
  <si>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</si>
  <si>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</si>
  <si>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</si>
  <si>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</si>
  <si>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</si>
  <si>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</si>
  <si>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</si>
  <si>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</si>
  <si>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</si>
  <si>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</si>
  <si>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</si>
  <si>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</si>
  <si>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</si>
  <si>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</si>
  <si>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</si>
  <si>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</si>
  <si>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</si>
  <si>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</si>
  <si>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</si>
  <si>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</si>
  <si>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</si>
  <si>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</si>
  <si>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</si>
  <si>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</si>
  <si>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</si>
  <si>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</si>
  <si>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</si>
  <si>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</si>
  <si>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</si>
  <si>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</si>
  <si>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</si>
  <si>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</si>
  <si>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</si>
  <si>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</si>
  <si>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</si>
  <si>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</si>
  <si>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</si>
  <si>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</si>
  <si>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</si>
  <si>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</si>
  <si>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</si>
  <si>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</si>
  <si>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</si>
  <si>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</si>
  <si>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</si>
  <si>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</si>
  <si>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</si>
  <si>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</si>
  <si>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</si>
  <si>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</si>
  <si>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</si>
  <si>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</si>
  <si>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</si>
  <si>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</si>
  <si>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</si>
  <si>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</si>
  <si>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</si>
  <si>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</si>
  <si>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</si>
  <si>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</si>
  <si>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</si>
  <si>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</si>
  <si>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</si>
  <si>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</si>
  <si>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</si>
  <si>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</si>
  <si>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</si>
  <si>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</si>
  <si>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</si>
  <si>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</si>
  <si>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</si>
  <si>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</si>
  <si>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</si>
  <si>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</si>
  <si>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</si>
  <si>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</si>
  <si>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</si>
  <si>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</si>
  <si>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</si>
  <si>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</si>
  <si>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</si>
  <si>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</si>
  <si>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</si>
  <si>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</si>
  <si>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</si>
  <si>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</si>
  <si>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</si>
  <si>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</si>
  <si>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</si>
  <si>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</si>
  <si>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</si>
  <si>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</si>
  <si>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</si>
  <si>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</si>
  <si>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</si>
  <si>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</si>
  <si>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</si>
  <si>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</si>
  <si>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</si>
  <si>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</si>
  <si>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</si>
  <si>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</si>
  <si>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</si>
  <si>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</si>
  <si>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</si>
  <si>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</si>
  <si>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</si>
  <si>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</si>
  <si>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</si>
  <si>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</si>
  <si>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</si>
  <si>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</si>
  <si>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</si>
  <si>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</si>
  <si>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</si>
  <si>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</si>
  <si>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</si>
  <si>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</si>
  <si>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</si>
  <si>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</si>
  <si>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</si>
  <si>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</si>
  <si>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</si>
  <si>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</si>
  <si>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</si>
  <si>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</si>
  <si>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</si>
  <si>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</si>
  <si>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</si>
  <si>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</si>
  <si>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</si>
  <si>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</si>
  <si>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</si>
  <si>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</si>
  <si>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</si>
  <si>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</si>
  <si>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</si>
  <si>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</si>
  <si>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</si>
  <si>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</si>
  <si>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</si>
  <si>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</si>
  <si>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</si>
  <si>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</si>
  <si>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</si>
  <si>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</si>
  <si>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</si>
  <si>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</si>
  <si>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</si>
  <si>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</si>
  <si>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</si>
  <si>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</si>
  <si>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</si>
  <si>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</si>
  <si>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</si>
  <si>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</si>
  <si>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</si>
  <si>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</si>
  <si>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</si>
  <si>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</si>
  <si>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</si>
  <si>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</si>
  <si>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</si>
  <si>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</si>
  <si>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</si>
  <si>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</si>
  <si>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</si>
  <si>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</si>
  <si>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</si>
  <si>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</si>
  <si>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</si>
  <si>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</si>
  <si>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</si>
  <si>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</si>
  <si>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</si>
  <si>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</si>
  <si>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</si>
  <si>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</si>
  <si>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</si>
  <si>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</si>
  <si>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</si>
  <si>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</si>
  <si>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</si>
  <si>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</si>
  <si>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</si>
  <si>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</si>
  <si>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</si>
  <si>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</si>
  <si>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</si>
  <si>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</si>
  <si>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</si>
  <si>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</si>
  <si>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</si>
  <si>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</si>
  <si>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</si>
  <si>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</si>
  <si>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</si>
  <si>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</si>
  <si>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</si>
  <si>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</si>
  <si>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</si>
  <si>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</si>
  <si>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</si>
  <si>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</si>
  <si>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</si>
  <si>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</si>
  <si>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</si>
  <si>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</si>
  <si>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</si>
  <si>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</si>
  <si>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</si>
  <si>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</si>
  <si>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</si>
  <si>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</si>
  <si>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</si>
  <si>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</si>
  <si>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</si>
  <si>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</si>
  <si>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</si>
  <si>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</si>
  <si>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</si>
  <si>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</si>
  <si>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</si>
  <si>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</si>
  <si>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</si>
  <si>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</si>
  <si>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</si>
  <si>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</si>
  <si>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</si>
  <si>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</si>
  <si>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</si>
  <si>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</si>
  <si>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</si>
  <si>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</si>
  <si>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</si>
  <si>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</si>
  <si>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</si>
  <si>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</si>
  <si>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</si>
  <si>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</si>
  <si>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</si>
  <si>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</si>
  <si>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</si>
  <si>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</si>
  <si>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</si>
  <si>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</si>
  <si>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</si>
  <si>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</si>
  <si>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</si>
  <si>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</si>
  <si>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</si>
  <si>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</si>
  <si>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</si>
  <si>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</si>
  <si>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</si>
  <si>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</si>
  <si>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</si>
  <si>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</si>
  <si>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</si>
  <si>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</si>
  <si>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</si>
  <si>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</si>
  <si>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</si>
  <si>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</si>
  <si>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</si>
  <si>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</si>
  <si>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</si>
  <si>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</si>
  <si>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</si>
  <si>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</si>
  <si>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</si>
  <si>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</si>
  <si>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</si>
  <si>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</si>
  <si>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</si>
  <si>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</si>
  <si>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</si>
  <si>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</si>
  <si>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</si>
  <si>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</si>
  <si>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</si>
  <si>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</si>
  <si>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</si>
  <si>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</si>
  <si>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</si>
  <si>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</si>
  <si>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</si>
  <si>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</si>
  <si>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</si>
  <si>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</si>
  <si>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</si>
  <si>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</si>
  <si>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</si>
  <si>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</si>
  <si>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</si>
  <si>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</si>
  <si>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</si>
  <si>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</si>
  <si>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</si>
  <si>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</si>
  <si>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</si>
  <si>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</si>
  <si>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</si>
  <si>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</si>
  <si>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</si>
  <si>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</si>
  <si>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</si>
  <si>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</si>
  <si>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</si>
  <si>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</si>
  <si>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</si>
  <si>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</si>
  <si>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</si>
  <si>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</si>
  <si>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</si>
  <si>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</si>
  <si>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</si>
  <si>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</si>
  <si>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</si>
  <si>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</si>
  <si>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</si>
  <si>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</si>
  <si>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</si>
  <si>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</si>
  <si>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</si>
  <si>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</si>
  <si>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</si>
  <si>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</si>
  <si>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</si>
  <si>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</si>
  <si>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</si>
  <si>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</si>
  <si>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</si>
  <si>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</si>
  <si>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</si>
  <si>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</si>
  <si>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</si>
  <si>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</si>
  <si>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</si>
  <si>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</si>
  <si>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</si>
  <si>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</si>
  <si>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</si>
  <si>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</si>
  <si>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</si>
  <si>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</si>
  <si>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</si>
  <si>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</si>
  <si>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</si>
  <si>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</si>
  <si>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</si>
  <si>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</si>
  <si>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</si>
  <si>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</si>
  <si>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</si>
  <si>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</si>
  <si>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</si>
  <si>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</si>
  <si>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</si>
  <si>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</si>
  <si>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</si>
  <si>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</si>
  <si>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</si>
  <si>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</si>
  <si>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</si>
  <si>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</si>
  <si>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</si>
  <si>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</si>
  <si>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</si>
  <si>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</si>
  <si>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</si>
  <si>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</si>
  <si>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</si>
  <si>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</si>
  <si>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</si>
  <si>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</si>
  <si>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</si>
  <si>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</si>
  <si>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</si>
  <si>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</si>
  <si>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</si>
  <si>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</si>
  <si>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</si>
  <si>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</si>
  <si>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</si>
  <si>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</si>
  <si>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</si>
  <si>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</si>
  <si>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</si>
  <si>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</si>
  <si>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</si>
  <si>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</si>
  <si>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</si>
  <si>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</si>
  <si>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</si>
  <si>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</si>
  <si>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</si>
  <si>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</si>
  <si>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</si>
  <si>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</si>
  <si>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</si>
  <si>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</si>
  <si>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</si>
  <si>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</si>
  <si>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</si>
  <si>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</si>
  <si>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</si>
  <si>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</si>
  <si>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</si>
  <si>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</si>
  <si>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</si>
  <si>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</si>
  <si>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</si>
  <si>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</si>
  <si>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</si>
  <si>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</si>
  <si>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</si>
  <si>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</si>
  <si>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</si>
  <si>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</si>
  <si>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</si>
  <si>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</si>
  <si>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</si>
  <si>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</si>
  <si>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</si>
  <si>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</si>
  <si>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</si>
  <si>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</si>
  <si>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</si>
  <si>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</si>
  <si>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</si>
  <si>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</si>
  <si>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</si>
  <si>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</si>
  <si>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</si>
  <si>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</si>
  <si>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</si>
  <si>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</si>
  <si>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</si>
  <si>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</si>
  <si>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</si>
  <si>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</si>
  <si>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</si>
  <si>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</si>
  <si>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</si>
  <si>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</si>
  <si>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</si>
  <si>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</si>
  <si>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</si>
  <si>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</si>
  <si>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</si>
  <si>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</si>
  <si>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</si>
  <si>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</si>
  <si>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</si>
  <si>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</si>
  <si>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</si>
  <si>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</si>
  <si>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</si>
  <si>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</si>
  <si>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</si>
  <si>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</si>
  <si>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</si>
  <si>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</si>
  <si>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</si>
  <si>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</si>
  <si>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</si>
  <si>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</si>
  <si>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</si>
  <si>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</si>
  <si>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</si>
  <si>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</si>
  <si>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</si>
  <si>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</si>
  <si>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</si>
  <si>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</si>
  <si>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</si>
  <si>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</si>
  <si>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</si>
  <si>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</si>
  <si>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</si>
  <si>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</si>
  <si>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</si>
  <si>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</si>
  <si>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</si>
  <si>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</si>
  <si>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</si>
  <si>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</si>
  <si>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</si>
  <si>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</si>
  <si>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</si>
  <si>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</si>
  <si>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</si>
  <si>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</si>
  <si>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</si>
  <si>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</si>
  <si>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</si>
  <si>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</si>
  <si>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</si>
  <si>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</si>
  <si>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</si>
  <si>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</si>
  <si>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</si>
  <si>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</si>
  <si>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</si>
  <si>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</si>
  <si>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</si>
  <si>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</si>
  <si>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</si>
  <si>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</si>
  <si>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</si>
  <si>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</si>
  <si>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</si>
  <si>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</si>
  <si>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</si>
  <si>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</si>
  <si>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</si>
  <si>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</si>
  <si>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</si>
  <si>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</si>
  <si>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</si>
  <si>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</si>
  <si>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</si>
  <si>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</si>
  <si>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</si>
  <si>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</si>
  <si>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</si>
  <si>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</si>
  <si>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</si>
  <si>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</si>
  <si>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</si>
  <si>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</si>
  <si>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</si>
  <si>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</si>
  <si>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</si>
  <si>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</si>
  <si>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</si>
  <si>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</si>
  <si>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</si>
  <si>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</si>
  <si>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</si>
  <si>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</si>
  <si>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</si>
  <si>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</si>
  <si>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</si>
  <si>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</si>
  <si>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</si>
  <si>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</si>
  <si>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</si>
  <si>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</si>
  <si>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</si>
  <si>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</si>
  <si>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</si>
  <si>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</si>
  <si>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</si>
  <si>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</si>
  <si>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</si>
  <si>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</si>
  <si>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</si>
  <si>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</si>
  <si>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</si>
  <si>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</si>
  <si>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</si>
  <si>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</si>
  <si>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</si>
  <si>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</si>
  <si>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</si>
  <si>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</si>
  <si>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</si>
  <si>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</si>
  <si>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</si>
  <si>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</si>
  <si>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</si>
  <si>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</si>
  <si>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</si>
  <si>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</si>
  <si>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</si>
  <si>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</si>
  <si>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</si>
  <si>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</si>
  <si>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</si>
  <si>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</si>
  <si>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</si>
  <si>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</si>
  <si>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</si>
  <si>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</si>
  <si>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</si>
  <si>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</si>
  <si>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</si>
  <si>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</si>
  <si>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</si>
  <si>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</si>
  <si>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</si>
  <si>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</si>
  <si>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</si>
  <si>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</si>
  <si>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</si>
  <si>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</si>
  <si>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</si>
  <si>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</si>
  <si>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</si>
  <si>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</si>
  <si>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</si>
  <si>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</si>
  <si>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</si>
  <si>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</si>
  <si>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</si>
  <si>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</si>
  <si>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</si>
  <si>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</si>
  <si>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</si>
  <si>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</si>
  <si>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</si>
  <si>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</si>
  <si>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</si>
  <si>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</si>
  <si>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</si>
  <si>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</si>
  <si>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</si>
  <si>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</si>
  <si>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</si>
  <si>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</si>
  <si>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</si>
  <si>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</si>
  <si>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</si>
  <si>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</si>
  <si>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</si>
  <si>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</si>
  <si>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</si>
  <si>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</si>
  <si>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</si>
  <si>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</si>
  <si>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</si>
  <si>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</si>
  <si>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</si>
  <si>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</si>
  <si>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</si>
  <si>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</si>
  <si>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</si>
  <si>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</si>
  <si>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</si>
  <si>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</si>
  <si>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</si>
  <si>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</si>
  <si>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</si>
  <si>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</si>
  <si>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</si>
  <si>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</si>
  <si>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</si>
  <si>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</si>
  <si>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</si>
  <si>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</si>
  <si>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</si>
  <si>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</si>
  <si>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</si>
  <si>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</si>
  <si>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</si>
  <si>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</si>
  <si>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</si>
  <si>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</si>
  <si>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</si>
  <si>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</si>
  <si>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</si>
  <si>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</si>
  <si>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</si>
  <si>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</si>
  <si>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</si>
  <si>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</si>
  <si>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</si>
  <si>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</si>
  <si>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</si>
  <si>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</si>
  <si>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</si>
  <si>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</si>
  <si>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</si>
  <si>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</si>
  <si>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</si>
  <si>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</si>
  <si>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</si>
  <si>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</si>
  <si>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</si>
  <si>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</si>
  <si>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</si>
  <si>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</si>
  <si>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</si>
  <si>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</si>
  <si>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</si>
  <si>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</si>
  <si>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</si>
  <si>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</si>
  <si>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</si>
  <si>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</si>
  <si>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</si>
  <si>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</si>
  <si>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</si>
  <si>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</si>
  <si>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</si>
  <si>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</si>
  <si>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</si>
  <si>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</si>
  <si>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</si>
  <si>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</si>
  <si>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</si>
  <si>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</si>
  <si>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</si>
  <si>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</si>
  <si>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</si>
  <si>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</si>
  <si>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</si>
  <si>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</si>
  <si>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</si>
  <si>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</si>
  <si>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</si>
  <si>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</si>
  <si>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</si>
  <si>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</si>
  <si>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</si>
  <si>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</si>
  <si>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</si>
  <si>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</si>
  <si>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</si>
  <si>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</si>
  <si>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</si>
  <si>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</si>
  <si>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</si>
  <si>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</si>
  <si>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</si>
  <si>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</si>
  <si>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</si>
  <si>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</si>
  <si>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</si>
  <si>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</si>
  <si>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</si>
  <si>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</si>
  <si>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</si>
  <si>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</si>
  <si>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</si>
  <si>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</si>
  <si>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</si>
  <si>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</si>
  <si>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</si>
  <si>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</si>
  <si>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</si>
  <si>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</si>
  <si>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</si>
  <si>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</si>
  <si>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</si>
  <si>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</si>
  <si>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</si>
  <si>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</si>
  <si>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</si>
  <si>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</si>
  <si>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</si>
  <si>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</si>
  <si>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</si>
  <si>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</si>
  <si>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</si>
  <si>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</si>
  <si>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</si>
  <si>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</si>
  <si>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</si>
  <si>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</si>
  <si>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</si>
  <si>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</si>
  <si>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</si>
  <si>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</si>
  <si>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</si>
  <si>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</si>
  <si>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</si>
  <si>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</si>
  <si>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</si>
  <si>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</si>
  <si>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</si>
  <si>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</si>
  <si>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</si>
  <si>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</si>
  <si>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</si>
  <si>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</si>
  <si>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</si>
  <si>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</si>
  <si>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</si>
  <si>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</si>
  <si>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</si>
  <si>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</si>
  <si>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</si>
  <si>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</si>
  <si>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</si>
  <si>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</si>
  <si>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</si>
  <si>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</si>
  <si>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</si>
  <si>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</si>
  <si>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</si>
  <si>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</si>
  <si>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</si>
  <si>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</si>
  <si>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</si>
  <si>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</si>
  <si>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</si>
  <si>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</si>
  <si>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</si>
  <si>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</si>
  <si>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</si>
  <si>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</si>
  <si>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</si>
  <si>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</si>
  <si>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</si>
  <si>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</si>
  <si>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</si>
  <si>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</si>
  <si>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</si>
  <si>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</si>
  <si>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</si>
  <si>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</si>
  <si>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</si>
  <si>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</si>
  <si>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</si>
  <si>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</si>
  <si>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</si>
  <si>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</si>
  <si>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</si>
  <si>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</si>
  <si>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</si>
  <si>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</si>
  <si>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</si>
  <si>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</si>
  <si>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</si>
  <si>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</si>
  <si>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</si>
  <si>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</si>
  <si>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</si>
  <si>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</si>
  <si>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</si>
  <si>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</si>
  <si>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</si>
  <si>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</si>
  <si>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</si>
  <si>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</si>
  <si>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</si>
  <si>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</si>
  <si>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</si>
  <si>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</si>
  <si>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</si>
  <si>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</si>
  <si>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</si>
  <si>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</si>
  <si>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</si>
  <si>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</si>
  <si>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</si>
  <si>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</si>
  <si>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</si>
  <si>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</si>
  <si>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</si>
  <si>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</si>
  <si>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</si>
  <si>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</si>
  <si>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</si>
  <si>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</si>
  <si>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</si>
  <si>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</si>
  <si>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</si>
  <si>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</si>
  <si>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</si>
  <si>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</si>
  <si>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</si>
  <si>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</si>
  <si>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</si>
  <si>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</si>
  <si>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</si>
  <si>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</si>
  <si>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</si>
  <si>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</si>
  <si>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</si>
  <si>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</si>
  <si>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</si>
  <si>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</si>
  <si>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</si>
  <si>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</si>
  <si>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</si>
  <si>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</si>
  <si>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</si>
  <si>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</si>
  <si>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</si>
  <si>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</si>
  <si>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</si>
  <si>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</si>
  <si>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</si>
  <si>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</si>
  <si>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</si>
  <si>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</si>
  <si>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</si>
  <si>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</si>
  <si>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</si>
  <si>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</si>
  <si>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</si>
  <si>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</si>
  <si>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</si>
  <si>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</si>
  <si>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</si>
  <si>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</si>
  <si>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</si>
  <si>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</si>
  <si>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</si>
  <si>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</si>
  <si>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</si>
  <si>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</si>
  <si>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</si>
  <si>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</si>
  <si>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</si>
  <si>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</si>
  <si>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</si>
  <si>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</si>
  <si>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</si>
  <si>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</si>
  <si>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</si>
  <si>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</si>
  <si>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</si>
  <si>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</si>
  <si>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</si>
  <si>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</si>
  <si>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</si>
  <si>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</si>
  <si>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</si>
  <si>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</si>
  <si>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</si>
  <si>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</si>
  <si>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</si>
  <si>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</si>
  <si>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</si>
  <si>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</si>
  <si>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</si>
  <si>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</si>
  <si>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</si>
  <si>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</si>
  <si>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</si>
  <si>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</si>
  <si>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</si>
  <si>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</si>
  <si>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</si>
  <si>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</si>
  <si>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</si>
  <si>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</si>
  <si>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</si>
  <si>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</si>
  <si>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</si>
  <si>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</si>
  <si>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</si>
  <si>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</si>
  <si>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</si>
  <si>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</si>
  <si>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</si>
  <si>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</si>
  <si>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</si>
  <si>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</si>
  <si>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</si>
  <si>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</si>
  <si>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</si>
  <si>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</si>
  <si>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</si>
  <si>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</si>
  <si>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</si>
  <si>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</si>
  <si>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</si>
  <si>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</si>
  <si>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</si>
  <si>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</si>
  <si>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</si>
  <si>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</si>
  <si>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</si>
  <si>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</si>
  <si>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</si>
  <si>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</si>
  <si>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</si>
  <si>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</si>
  <si>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</si>
  <si>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</si>
  <si>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</si>
  <si>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</si>
  <si>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</si>
  <si>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</si>
  <si>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</si>
  <si>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</si>
  <si>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</si>
  <si>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</si>
  <si>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</si>
  <si>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</si>
  <si>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</si>
  <si>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</si>
  <si>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</si>
  <si>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</si>
  <si>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</si>
  <si>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</si>
  <si>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</si>
  <si>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</si>
  <si>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</si>
  <si>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</si>
  <si>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</si>
  <si>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</si>
  <si>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</si>
  <si>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</si>
  <si>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</si>
  <si>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</si>
  <si>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</si>
  <si>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</si>
  <si>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</si>
  <si>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</si>
  <si>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</si>
  <si>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</si>
  <si>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</si>
  <si>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</si>
  <si>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</si>
  <si>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</si>
  <si>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</si>
  <si>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</si>
  <si>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</si>
  <si>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</si>
  <si>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</si>
  <si>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</si>
  <si>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</si>
  <si>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</si>
  <si>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</si>
  <si>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</si>
  <si>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</si>
  <si>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</si>
  <si>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</si>
  <si>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</si>
  <si>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</si>
  <si>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</si>
  <si>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</si>
  <si>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</si>
  <si>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</si>
  <si>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</si>
  <si>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</si>
  <si>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</si>
  <si>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</si>
  <si>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</si>
  <si>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</si>
  <si>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</si>
  <si>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</si>
  <si>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</si>
  <si>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</si>
  <si>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</si>
  <si>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</si>
  <si>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</si>
  <si>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</si>
  <si>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</si>
  <si>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</si>
  <si>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</si>
  <si>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</si>
  <si>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</si>
  <si>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</si>
  <si>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</si>
  <si>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</si>
  <si>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</si>
  <si>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</si>
  <si>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</si>
  <si>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</si>
  <si>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</si>
  <si>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</si>
  <si>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</si>
  <si>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</si>
  <si>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</si>
  <si>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</si>
  <si>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</si>
  <si>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</si>
  <si>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</si>
  <si>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</si>
  <si>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</si>
  <si>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</si>
  <si>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</si>
  <si>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</si>
  <si>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</si>
  <si>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</si>
  <si>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</si>
  <si>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</si>
  <si>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</si>
  <si>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</si>
  <si>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</si>
  <si>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</si>
  <si>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</si>
  <si>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</si>
  <si>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</si>
  <si>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</si>
  <si>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</si>
  <si>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</si>
  <si>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</si>
  <si>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</si>
  <si>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</si>
  <si>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</si>
  <si>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</si>
  <si>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</si>
  <si>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</si>
  <si>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</si>
  <si>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</si>
  <si>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</si>
  <si>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</si>
  <si>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</si>
  <si>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</si>
  <si>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</si>
  <si>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</si>
  <si>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</si>
  <si>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</si>
  <si>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</si>
  <si>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</si>
  <si>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</si>
  <si>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</si>
  <si>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</si>
  <si>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</si>
  <si>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</si>
  <si>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</si>
  <si>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</si>
  <si>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</si>
  <si>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</si>
  <si>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</si>
  <si>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</si>
  <si>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</si>
  <si>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</si>
  <si>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</si>
  <si>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</si>
  <si>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</si>
  <si>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</si>
  <si>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</si>
  <si>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</si>
  <si>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</si>
  <si>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</si>
  <si>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</si>
  <si>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</si>
  <si>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</si>
  <si>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</si>
  <si>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</si>
  <si>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</si>
  <si>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</si>
  <si>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</si>
  <si>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</si>
  <si>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</si>
  <si>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</si>
  <si>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</si>
  <si>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</si>
  <si>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</si>
  <si>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</si>
  <si>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</si>
  <si>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</si>
  <si>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</si>
  <si>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</si>
  <si>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</si>
  <si>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</si>
  <si>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</si>
  <si>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</si>
  <si>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</si>
  <si>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</si>
  <si>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</si>
  <si>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</si>
  <si>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</si>
  <si>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</si>
  <si>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</si>
  <si>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</si>
  <si>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</si>
  <si>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</si>
  <si>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</si>
  <si>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</si>
  <si>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</si>
  <si>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</si>
  <si>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</si>
  <si>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</si>
  <si>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</si>
  <si>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</si>
  <si>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</si>
  <si>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</si>
  <si>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</si>
  <si>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</si>
  <si>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</si>
  <si>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</si>
  <si>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</si>
  <si>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</si>
  <si>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</si>
  <si>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</si>
  <si>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</si>
  <si>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</si>
  <si>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</si>
  <si>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</si>
  <si>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</si>
  <si>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</si>
  <si>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</si>
  <si>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</si>
  <si>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</si>
  <si>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</si>
  <si>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</si>
  <si>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</si>
  <si>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</si>
  <si>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</si>
  <si>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</si>
  <si>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</si>
  <si>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</si>
  <si>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</si>
  <si>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</si>
  <si>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</si>
  <si>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</si>
  <si>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</si>
  <si>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</si>
  <si>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</si>
  <si>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</si>
  <si>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</si>
  <si>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</si>
  <si>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</si>
  <si>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</si>
  <si>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</si>
  <si>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</si>
  <si>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</si>
  <si>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</si>
  <si>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</si>
  <si>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</si>
  <si>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</si>
  <si>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</si>
  <si>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</si>
  <si>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</si>
  <si>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</si>
  <si>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</si>
  <si>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</si>
  <si>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</si>
  <si>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</si>
  <si>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</si>
  <si>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</si>
  <si>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</si>
  <si>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</si>
  <si>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</si>
  <si>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</si>
  <si>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</si>
  <si>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</si>
  <si>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</si>
  <si>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</si>
  <si>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</si>
  <si>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</si>
  <si>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</si>
  <si>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</si>
  <si>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</si>
  <si>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</si>
  <si>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</si>
  <si>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</si>
  <si>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</si>
  <si>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</si>
  <si>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</si>
  <si>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</si>
  <si>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</si>
  <si>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</si>
  <si>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</si>
  <si>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</si>
  <si>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</si>
  <si>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</si>
  <si>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</si>
  <si>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</si>
  <si>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</si>
  <si>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</si>
  <si>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</si>
  <si>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</si>
  <si>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</si>
  <si>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</si>
  <si>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</si>
  <si>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</si>
  <si>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</si>
  <si>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</si>
  <si>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</si>
  <si>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</si>
  <si>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</si>
  <si>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</si>
  <si>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</si>
  <si>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</si>
  <si>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</si>
  <si>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</si>
  <si>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</si>
  <si>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</si>
  <si>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</si>
  <si>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</si>
  <si>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</si>
  <si>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</si>
  <si>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</si>
  <si>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</si>
  <si>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</si>
  <si>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</si>
  <si>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</si>
  <si>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</si>
  <si>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</si>
  <si>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</si>
  <si>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</si>
  <si>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</si>
  <si>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</si>
  <si>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</si>
  <si>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</si>
  <si>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</si>
  <si>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</si>
  <si>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</si>
  <si>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</si>
  <si>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</si>
  <si>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</si>
  <si>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</si>
  <si>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</si>
  <si>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</si>
  <si>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</si>
  <si>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</si>
  <si>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</si>
  <si>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</si>
  <si>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</si>
  <si>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</si>
  <si>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</si>
  <si>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</si>
  <si>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</si>
  <si>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</si>
  <si>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</si>
  <si>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</si>
  <si>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</si>
  <si>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</si>
  <si>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</si>
  <si>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</si>
  <si>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</si>
  <si>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</si>
  <si>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</si>
  <si>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</si>
  <si>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</si>
  <si>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</si>
  <si>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</si>
  <si>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</si>
  <si>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</si>
  <si>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</si>
  <si>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</si>
  <si>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</si>
  <si>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</si>
  <si>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</si>
  <si>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</si>
  <si>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</si>
  <si>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</si>
  <si>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</si>
  <si>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</si>
  <si>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</si>
  <si>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</si>
  <si>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</si>
  <si>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</si>
  <si>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</si>
  <si>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</si>
  <si>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</si>
  <si>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</si>
  <si>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</si>
  <si>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</si>
  <si>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</si>
  <si>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</si>
  <si>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</si>
  <si>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</si>
  <si>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</si>
  <si>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</si>
  <si>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</si>
  <si>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</si>
  <si>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</si>
  <si>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</si>
  <si>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</si>
  <si>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</si>
  <si>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</si>
  <si>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</si>
  <si>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</si>
  <si>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</si>
  <si>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</si>
  <si>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</si>
  <si>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</si>
  <si>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</si>
  <si>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</si>
  <si>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</si>
  <si>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</si>
  <si>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</si>
  <si>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</si>
  <si>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</si>
  <si>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</si>
  <si>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</si>
  <si>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</si>
  <si>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</si>
  <si>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</si>
  <si>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</si>
  <si>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</si>
  <si>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</si>
  <si>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</si>
  <si>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</si>
  <si>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</si>
  <si>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</si>
  <si>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</si>
  <si>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</si>
  <si>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</si>
  <si>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</si>
  <si>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</si>
  <si>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</si>
  <si>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</si>
  <si>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</si>
  <si>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</si>
  <si>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</si>
  <si>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</si>
  <si>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</si>
  <si>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</si>
  <si>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</si>
  <si>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</si>
  <si>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</si>
  <si>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</si>
  <si>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</si>
  <si>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</si>
  <si>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</si>
  <si>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</si>
  <si>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</si>
  <si>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</si>
  <si>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</si>
  <si>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</si>
  <si>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</si>
  <si>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</si>
  <si>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</si>
  <si>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</si>
  <si>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</si>
  <si>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</si>
  <si>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</si>
  <si>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</si>
  <si>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</si>
  <si>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</si>
  <si>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</si>
  <si>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</si>
  <si>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</si>
  <si>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</si>
  <si>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</si>
  <si>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</si>
  <si>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</si>
  <si>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</si>
  <si>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</si>
  <si>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</si>
  <si>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</si>
  <si>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</si>
  <si>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</si>
  <si>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</si>
  <si>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</si>
  <si>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</si>
  <si>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</si>
  <si>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</si>
  <si>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</si>
  <si>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</si>
  <si>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</si>
  <si>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</si>
  <si>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</si>
  <si>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</si>
  <si>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</si>
  <si>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</si>
  <si>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</si>
  <si>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</si>
  <si>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</si>
  <si>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</si>
  <si>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</si>
  <si>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</si>
  <si>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</si>
  <si>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</si>
  <si>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</si>
  <si>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</si>
  <si>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</si>
  <si>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</si>
  <si>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</si>
  <si>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</si>
  <si>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</si>
  <si>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</si>
  <si>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</si>
  <si>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</si>
  <si>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</si>
  <si>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</si>
  <si>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</si>
  <si>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</si>
  <si>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</si>
  <si>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</si>
  <si>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</si>
  <si>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</si>
  <si>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</si>
  <si>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</si>
  <si>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</si>
  <si>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</si>
  <si>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</si>
  <si>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</si>
  <si>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</si>
  <si>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</si>
  <si>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</si>
  <si>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</si>
  <si>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</si>
  <si>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</si>
  <si>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</si>
  <si>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</si>
  <si>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</si>
  <si>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</si>
  <si>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</si>
  <si>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</si>
  <si>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</si>
  <si>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</si>
  <si>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</si>
  <si>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</si>
  <si>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</si>
  <si>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</si>
  <si>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</si>
  <si>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</si>
  <si>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</si>
  <si>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</si>
  <si>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</si>
  <si>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</si>
  <si>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</si>
  <si>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</si>
  <si>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</si>
  <si>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</si>
  <si>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</si>
  <si>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</si>
  <si>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</si>
  <si>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</si>
  <si>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</si>
  <si>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</si>
  <si>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</si>
  <si>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</si>
  <si>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</si>
  <si>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</si>
  <si>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</si>
  <si>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</si>
  <si>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</si>
  <si>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</si>
  <si>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</si>
  <si>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</si>
  <si>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</si>
  <si>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</si>
  <si>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</si>
  <si>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</si>
  <si>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</si>
  <si>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</si>
  <si>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</si>
  <si>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</si>
  <si>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</si>
  <si>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</si>
  <si>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</si>
  <si>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</si>
  <si>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</si>
  <si>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</si>
  <si>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</si>
  <si>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</si>
  <si>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</si>
  <si>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</si>
  <si>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</si>
  <si>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</si>
  <si>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</si>
  <si>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</si>
  <si>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</si>
  <si>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</si>
  <si>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</si>
  <si>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</si>
  <si>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</si>
  <si>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</si>
  <si>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</si>
  <si>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</si>
  <si>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</si>
  <si>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</si>
  <si>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</si>
  <si>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</si>
  <si>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</si>
  <si>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</si>
  <si>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</si>
  <si>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</si>
  <si>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</si>
  <si>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</si>
  <si>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</si>
  <si>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</si>
  <si>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</si>
  <si>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</si>
  <si>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</si>
  <si>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</si>
  <si>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</si>
  <si>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</si>
  <si>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</si>
  <si>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</si>
  <si>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</si>
  <si>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</si>
  <si>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</si>
  <si>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</si>
  <si>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</si>
  <si>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</si>
  <si>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</si>
  <si>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</si>
  <si>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</si>
  <si>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</si>
  <si>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</si>
  <si>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</si>
  <si>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</si>
  <si>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</si>
  <si>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</si>
  <si>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</si>
  <si>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</si>
  <si>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</si>
  <si>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</si>
  <si>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</si>
  <si>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</si>
  <si>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</si>
  <si>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</si>
  <si>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</si>
  <si>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</si>
  <si>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</si>
  <si>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</si>
  <si>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</si>
  <si>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</si>
  <si>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</si>
  <si>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</si>
  <si>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</si>
  <si>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</si>
  <si>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</si>
  <si>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</si>
  <si>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</si>
  <si>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</si>
  <si>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</si>
  <si>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</si>
  <si>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</si>
  <si>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</si>
  <si>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</si>
  <si>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</si>
  <si>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</si>
  <si>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</si>
  <si>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</si>
  <si>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</si>
  <si>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</si>
  <si>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</si>
  <si>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</si>
  <si>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</si>
  <si>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</si>
  <si>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</si>
  <si>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</si>
  <si>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</si>
  <si>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</si>
  <si>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</si>
  <si>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</si>
  <si>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</si>
  <si>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</si>
  <si>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</si>
  <si>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</si>
  <si>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</si>
  <si>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</si>
  <si>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</si>
  <si>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</si>
  <si>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</si>
  <si>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</si>
  <si>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</si>
  <si>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</si>
  <si>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</si>
  <si>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</si>
  <si>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</si>
  <si>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</si>
  <si>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</si>
  <si>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</si>
  <si>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</si>
  <si>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</si>
  <si>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</si>
  <si>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</si>
  <si>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</si>
  <si>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</si>
  <si>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</si>
  <si>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</si>
  <si>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</si>
  <si>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</si>
  <si>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</si>
  <si>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</si>
  <si>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</si>
  <si>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</si>
  <si>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</si>
  <si>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</si>
  <si>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</si>
  <si>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</si>
  <si>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</si>
  <si>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</si>
  <si>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</si>
  <si>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</si>
  <si>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</si>
  <si>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</si>
  <si>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</si>
  <si>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</si>
  <si>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</si>
  <si>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</si>
  <si>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</si>
  <si>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</si>
  <si>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</si>
  <si>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</si>
  <si>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</si>
  <si>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</si>
  <si>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</si>
  <si>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</si>
  <si>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</si>
  <si>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</si>
  <si>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</si>
  <si>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</si>
  <si>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</si>
  <si>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</si>
  <si>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</si>
  <si>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</si>
  <si>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</si>
  <si>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</si>
  <si>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</si>
  <si>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</si>
  <si>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</si>
  <si>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</si>
  <si>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</si>
  <si>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</si>
  <si>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</si>
  <si>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</si>
  <si>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</si>
  <si>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</si>
  <si>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</si>
  <si>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</si>
  <si>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</si>
  <si>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</si>
  <si>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</si>
  <si>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</si>
  <si>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</si>
  <si>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</si>
  <si>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</si>
  <si>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</si>
  <si>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</si>
  <si>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</si>
  <si>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</si>
  <si>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</si>
  <si>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</si>
  <si>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</si>
  <si>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</si>
  <si>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</si>
  <si>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</si>
  <si>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</si>
  <si>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</si>
  <si>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</si>
  <si>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</si>
  <si>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</si>
  <si>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</si>
  <si>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</si>
  <si>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</si>
  <si>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</si>
  <si>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</si>
  <si>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</si>
  <si>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</si>
  <si>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</si>
  <si>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</si>
  <si>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</si>
  <si>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</si>
  <si>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</si>
  <si>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</si>
  <si>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</si>
  <si>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</si>
  <si>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</si>
  <si>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</si>
  <si>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</si>
  <si>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</si>
  <si>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</si>
  <si>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</si>
  <si>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</si>
  <si>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</si>
  <si>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</si>
  <si>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</si>
  <si>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</si>
  <si>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</si>
  <si>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</si>
  <si>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</si>
  <si>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</si>
  <si>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</si>
  <si>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</si>
  <si>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</si>
  <si>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</si>
  <si>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</si>
  <si>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</si>
  <si>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</si>
  <si>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</si>
  <si>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</si>
  <si>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</si>
  <si>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</si>
  <si>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</si>
  <si>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</si>
  <si>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</si>
  <si>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</si>
  <si>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</si>
  <si>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</si>
  <si>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</si>
  <si>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</si>
  <si>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</si>
  <si>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</si>
  <si>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</si>
  <si>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</si>
  <si>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</si>
  <si>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</si>
  <si>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</si>
  <si>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</si>
  <si>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</si>
  <si>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</si>
  <si>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</si>
  <si>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</si>
  <si>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</si>
  <si>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</si>
  <si>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</si>
  <si>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</si>
  <si>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</si>
  <si>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</si>
  <si>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</si>
  <si>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</si>
  <si>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</si>
  <si>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</si>
  <si>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</si>
  <si>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</si>
  <si>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</si>
  <si>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</si>
  <si>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</si>
  <si>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</si>
  <si>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</si>
  <si>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</si>
  <si>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</si>
  <si>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</si>
  <si>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</si>
  <si>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</si>
  <si>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</si>
  <si>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</si>
  <si>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</si>
  <si>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</si>
  <si>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</si>
  <si>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</si>
  <si>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</si>
  <si>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</si>
  <si>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</si>
  <si>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</si>
  <si>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</si>
  <si>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</si>
  <si>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</si>
  <si>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</si>
  <si>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</si>
  <si>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</si>
  <si>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</si>
  <si>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</si>
  <si>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</si>
  <si>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</si>
  <si>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</si>
  <si>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</si>
  <si>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</si>
  <si>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</si>
  <si>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</si>
  <si>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</si>
  <si>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</si>
  <si>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</si>
  <si>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</si>
  <si>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</si>
  <si>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</si>
  <si>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</si>
  <si>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</si>
  <si>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</si>
  <si>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</si>
  <si>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</si>
  <si>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</si>
  <si>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</si>
  <si>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</si>
  <si>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</si>
  <si>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</si>
  <si>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</si>
  <si>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</si>
  <si>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</si>
  <si>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</si>
  <si>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</si>
  <si>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</si>
  <si>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</si>
  <si>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</si>
  <si>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</si>
  <si>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</si>
  <si>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</si>
  <si>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</si>
  <si>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</si>
  <si>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</si>
  <si>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</si>
  <si>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</si>
  <si>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</si>
  <si>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</si>
  <si>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</si>
  <si>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</si>
  <si>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</si>
  <si>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</si>
  <si>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</si>
  <si>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</si>
  <si>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</si>
  <si>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</si>
  <si>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</si>
  <si>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</si>
  <si>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</si>
  <si>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</si>
  <si>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</si>
  <si>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</si>
  <si>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</si>
  <si>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</si>
  <si>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</si>
  <si>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</si>
  <si>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</si>
  <si>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</si>
  <si>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</si>
  <si>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</si>
  <si>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</si>
  <si>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</si>
  <si>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</si>
  <si>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</si>
  <si>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</si>
  <si>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</si>
  <si>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</si>
  <si>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</si>
  <si>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</si>
  <si>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</si>
  <si>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</si>
  <si>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</si>
  <si>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</si>
  <si>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</si>
  <si>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</si>
  <si>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</si>
  <si>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</si>
  <si>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</si>
  <si>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</si>
  <si>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</si>
  <si>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</si>
  <si>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</si>
  <si>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</si>
  <si>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</si>
  <si>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</si>
  <si>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</si>
  <si>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</si>
  <si>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</si>
  <si>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</si>
  <si>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</si>
  <si>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</si>
  <si>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</si>
  <si>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</si>
  <si>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</si>
  <si>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</si>
  <si>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</si>
  <si>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</si>
  <si>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</si>
  <si>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</si>
  <si>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</si>
  <si>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</si>
  <si>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</si>
  <si>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</si>
  <si>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</si>
  <si>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</si>
  <si>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</si>
  <si>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</si>
  <si>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</si>
  <si>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</si>
  <si>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</si>
  <si>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</si>
  <si>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</si>
  <si>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</si>
  <si>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</si>
  <si>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</si>
  <si>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</si>
  <si>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</si>
  <si>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</si>
  <si>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</si>
  <si>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</si>
  <si>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</si>
  <si>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</si>
  <si>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</si>
  <si>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</si>
  <si>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</si>
  <si>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</si>
  <si>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</si>
  <si>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</si>
  <si>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</si>
  <si>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</si>
  <si>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</si>
  <si>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</si>
  <si>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</si>
  <si>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</si>
  <si>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</si>
  <si>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</si>
  <si>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</si>
  <si>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</si>
  <si>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</si>
  <si>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</si>
  <si>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</si>
  <si>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</si>
  <si>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</si>
  <si>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</si>
  <si>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</si>
  <si>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</si>
  <si>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</si>
  <si>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</si>
  <si>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</si>
  <si>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</si>
  <si>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</si>
  <si>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</si>
  <si>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</si>
  <si>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</si>
  <si>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</si>
  <si>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</si>
  <si>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</si>
  <si>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</si>
  <si>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</si>
  <si>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</si>
  <si>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</si>
  <si>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</si>
  <si>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</si>
  <si>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</si>
  <si>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</si>
  <si>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</si>
  <si>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</si>
  <si>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</si>
  <si>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</si>
  <si>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</si>
  <si>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</si>
  <si>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</si>
  <si>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</si>
  <si>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</si>
  <si>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</si>
  <si>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</si>
  <si>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</si>
  <si>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</si>
  <si>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</si>
  <si>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</si>
  <si>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</si>
  <si>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</si>
  <si>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</si>
  <si>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</si>
  <si>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</si>
  <si>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</si>
  <si>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</si>
  <si>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</si>
  <si>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</si>
  <si>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</si>
  <si>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</si>
  <si>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</si>
  <si>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</si>
  <si>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</si>
  <si>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</si>
  <si>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</si>
  <si>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</si>
  <si>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</si>
  <si>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</si>
  <si>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</si>
  <si>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</si>
  <si>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</si>
  <si>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</si>
  <si>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</si>
  <si>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</si>
  <si>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</si>
  <si>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</si>
  <si>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</si>
  <si>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</si>
  <si>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</si>
  <si>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</si>
  <si>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</si>
  <si>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</si>
  <si>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</si>
  <si>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</si>
  <si>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</si>
  <si>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</si>
  <si>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</si>
  <si>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</si>
  <si>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</si>
  <si>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</si>
  <si>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</si>
  <si>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</si>
  <si>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</si>
  <si>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</si>
  <si>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</si>
  <si>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</si>
  <si>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</si>
  <si>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</si>
  <si>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</si>
  <si>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</si>
  <si>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</si>
  <si>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</si>
  <si>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</si>
  <si>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</si>
  <si>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</si>
  <si>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</si>
  <si>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</si>
  <si>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</si>
  <si>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</si>
  <si>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</si>
  <si>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</si>
  <si>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</si>
  <si>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</si>
  <si>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</si>
  <si>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</si>
  <si>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</si>
  <si>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</si>
  <si>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</si>
  <si>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</si>
  <si>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</si>
  <si>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</si>
  <si>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</si>
  <si>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</si>
  <si>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</si>
  <si>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</si>
  <si>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</si>
  <si>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</si>
  <si>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</si>
  <si>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</si>
  <si>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</si>
  <si>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</si>
  <si>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</si>
  <si>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</si>
  <si>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</si>
  <si>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</si>
  <si>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</si>
  <si>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</si>
  <si>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</si>
  <si>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</si>
  <si>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</si>
  <si>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</si>
  <si>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</si>
  <si>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</si>
  <si>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</si>
  <si>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</si>
  <si>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</si>
  <si>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</si>
  <si>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</si>
  <si>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</si>
  <si>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</si>
  <si>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</si>
  <si>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</si>
  <si>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</si>
  <si>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</si>
  <si>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</si>
  <si>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</si>
  <si>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</si>
  <si>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</si>
  <si>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</si>
  <si>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</si>
  <si>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</si>
  <si>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</si>
  <si>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</si>
  <si>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</si>
  <si>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</si>
  <si>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</si>
  <si>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</si>
  <si>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</si>
  <si>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</si>
  <si>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</si>
  <si>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</si>
  <si>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</si>
  <si>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</si>
  <si>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</si>
  <si>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</si>
  <si>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</si>
  <si>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</si>
  <si>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</si>
  <si>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</si>
  <si>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</si>
  <si>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</si>
  <si>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</si>
  <si>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</si>
  <si>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</si>
  <si>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</si>
  <si>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</si>
  <si>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</si>
  <si>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</si>
  <si>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</si>
  <si>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</si>
  <si>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</si>
  <si>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</si>
  <si>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</si>
  <si>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</si>
  <si>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</si>
  <si>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</si>
  <si>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</si>
  <si>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</si>
  <si>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</si>
  <si>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</si>
  <si>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</si>
  <si>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</si>
  <si>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</si>
  <si>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</si>
  <si>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</si>
  <si>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</si>
  <si>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</si>
  <si>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</si>
  <si>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</si>
  <si>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</si>
  <si>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</si>
  <si>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</si>
  <si>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</si>
  <si>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</si>
  <si>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</si>
  <si>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</si>
  <si>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</si>
  <si>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</si>
  <si>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</si>
  <si>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</si>
  <si>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</si>
  <si>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</si>
  <si>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</si>
  <si>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</si>
  <si>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</si>
  <si>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</si>
  <si>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</si>
  <si>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</si>
  <si>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</si>
  <si>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</si>
  <si>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</si>
  <si>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</si>
  <si>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</si>
  <si>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</si>
  <si>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</si>
  <si>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</si>
  <si>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</si>
  <si>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</si>
  <si>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</si>
  <si>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</si>
  <si>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</si>
  <si>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</si>
  <si>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</si>
  <si>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</si>
  <si>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</si>
  <si>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</si>
  <si>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</si>
  <si>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</si>
  <si>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</si>
  <si>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</si>
  <si>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</si>
  <si>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</si>
  <si>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</si>
  <si>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</si>
  <si>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</si>
  <si>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</si>
  <si>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</si>
  <si>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</si>
  <si>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</si>
  <si>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</si>
  <si>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</si>
  <si>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</si>
  <si>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</si>
  <si>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</si>
  <si>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</si>
  <si>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</si>
  <si>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</si>
  <si>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</si>
  <si>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</si>
  <si>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</si>
  <si>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</si>
  <si>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</si>
  <si>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</si>
  <si>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</si>
  <si>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</si>
  <si>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</si>
  <si>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</si>
  <si>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</si>
  <si>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</si>
  <si>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</si>
  <si>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</si>
  <si>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</si>
  <si>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</si>
  <si>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</si>
  <si>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</si>
  <si>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</si>
  <si>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</si>
  <si>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</si>
  <si>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</si>
  <si>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</si>
  <si>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</si>
  <si>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</si>
  <si>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</si>
  <si>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</si>
  <si>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</si>
  <si>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</si>
  <si>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</si>
  <si>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</si>
  <si>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</si>
  <si>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</si>
  <si>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</si>
  <si>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</si>
  <si>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</si>
  <si>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</si>
  <si>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</si>
  <si>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</si>
  <si>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</si>
  <si>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</si>
  <si>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</si>
  <si>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</si>
  <si>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</si>
  <si>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</si>
  <si>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</si>
  <si>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</si>
  <si>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</si>
  <si>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</si>
  <si>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</si>
  <si>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</si>
  <si>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</si>
  <si>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</si>
  <si>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</si>
  <si>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</si>
  <si>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</si>
  <si>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</si>
  <si>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</si>
  <si>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</si>
  <si>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</si>
  <si>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</si>
  <si>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</si>
  <si>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</si>
  <si>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</si>
  <si>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</si>
  <si>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</si>
  <si>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</si>
  <si>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</si>
  <si>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</si>
  <si>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</si>
  <si>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</si>
  <si>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</si>
  <si>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</si>
  <si>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</si>
  <si>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</si>
  <si>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</si>
  <si>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</si>
  <si>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</si>
  <si>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</si>
  <si>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</si>
  <si>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</si>
  <si>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</si>
  <si>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</si>
  <si>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</si>
  <si>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</si>
  <si>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</si>
  <si>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</si>
  <si>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</si>
  <si>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</si>
  <si>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</si>
  <si>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</si>
  <si>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</si>
  <si>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</si>
  <si>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</si>
  <si>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</si>
  <si>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</si>
  <si>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</si>
  <si>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</si>
  <si>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</si>
  <si>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</si>
  <si>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</si>
  <si>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</si>
  <si>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</si>
  <si>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</si>
  <si>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</si>
  <si>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</si>
  <si>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</si>
  <si>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</si>
  <si>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</si>
  <si>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</si>
  <si>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</si>
  <si>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</si>
  <si>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</si>
  <si>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</si>
  <si>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</si>
  <si>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</si>
  <si>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</si>
  <si>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</si>
  <si>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</si>
  <si>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</si>
  <si>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</si>
  <si>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</si>
  <si>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</si>
  <si>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</si>
  <si>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</si>
  <si>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</si>
  <si>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</si>
  <si>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</si>
  <si>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</si>
  <si>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</si>
  <si>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</si>
  <si>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</si>
  <si>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</si>
  <si>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</si>
  <si>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</si>
  <si>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</si>
  <si>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</si>
  <si>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</si>
  <si>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</si>
  <si>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</si>
  <si>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</si>
  <si>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</si>
  <si>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</si>
  <si>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</si>
  <si>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</si>
  <si>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</si>
  <si>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</si>
  <si>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</si>
  <si>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</si>
  <si>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</si>
  <si>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</si>
  <si>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</si>
  <si>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</si>
  <si>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</si>
  <si>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</si>
  <si>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</si>
  <si>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</si>
  <si>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</si>
  <si>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</si>
  <si>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</si>
  <si>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</si>
  <si>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</si>
  <si>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</si>
  <si>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</si>
  <si>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</si>
  <si>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</si>
  <si>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</si>
  <si>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</si>
  <si>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</si>
  <si>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</si>
  <si>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</si>
  <si>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</si>
  <si>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</si>
  <si>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</si>
  <si>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</si>
  <si>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</si>
  <si>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</si>
  <si>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</si>
  <si>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</si>
  <si>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</si>
  <si>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</si>
  <si>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</si>
  <si>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</si>
  <si>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</si>
  <si>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</si>
  <si>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</si>
  <si>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</si>
  <si>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</si>
  <si>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</si>
  <si>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</si>
  <si>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</si>
  <si>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</si>
  <si>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</si>
  <si>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</si>
  <si>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</si>
  <si>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</si>
  <si>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</si>
  <si>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</si>
  <si>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</si>
  <si>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</si>
  <si>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</si>
  <si>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</si>
  <si>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</si>
  <si>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</si>
  <si>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</si>
  <si>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</si>
  <si>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</si>
  <si>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</si>
  <si>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</si>
  <si>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</si>
  <si>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</si>
  <si>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</si>
  <si>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</si>
  <si>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</si>
  <si>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</si>
  <si>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</si>
  <si>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</si>
  <si>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</si>
  <si>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</si>
  <si>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</si>
  <si>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</si>
  <si>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</si>
  <si>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</si>
  <si>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</si>
  <si>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</si>
  <si>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</si>
  <si>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</si>
  <si>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</si>
  <si>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</si>
  <si>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</si>
  <si>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</si>
  <si>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</si>
  <si>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</si>
  <si>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</si>
  <si>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</si>
  <si>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</si>
  <si>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</si>
  <si>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</si>
  <si>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</si>
  <si>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</si>
  <si>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</si>
  <si>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</si>
  <si>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</si>
  <si>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</si>
  <si>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</si>
  <si>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</si>
  <si>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</si>
  <si>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</si>
  <si>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</si>
  <si>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</si>
  <si>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</si>
  <si>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</si>
  <si>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</si>
  <si>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</si>
  <si>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</si>
  <si>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</si>
  <si>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</si>
  <si>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</si>
  <si>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</si>
  <si>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</si>
  <si>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</si>
  <si>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</si>
  <si>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</si>
  <si>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</si>
  <si>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</si>
  <si>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</si>
  <si>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</si>
  <si>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</si>
  <si>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</si>
  <si>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</si>
  <si>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</si>
  <si>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</si>
  <si>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</si>
  <si>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</si>
  <si>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</si>
  <si>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</si>
  <si>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</si>
  <si>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</si>
  <si>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</si>
  <si>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</si>
  <si>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</si>
  <si>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</si>
  <si>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</si>
  <si>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</si>
  <si>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</si>
  <si>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</si>
  <si>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</si>
  <si>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</si>
  <si>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</si>
  <si>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</si>
  <si>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</si>
  <si>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</si>
  <si>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</si>
  <si>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</si>
  <si>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</si>
  <si>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</si>
  <si>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</si>
  <si>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</si>
  <si>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</si>
  <si>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</si>
  <si>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</si>
  <si>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</si>
  <si>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</si>
  <si>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</si>
  <si>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</si>
  <si>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</si>
  <si>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</si>
  <si>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</si>
  <si>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</si>
  <si>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</si>
  <si>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</si>
  <si>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</si>
  <si>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</si>
  <si>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</si>
  <si>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</si>
  <si>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</si>
  <si>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</si>
  <si>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</si>
  <si>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</si>
  <si>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</si>
  <si>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</si>
  <si>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</si>
  <si>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</si>
  <si>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</si>
  <si>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</si>
  <si>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</si>
  <si>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</si>
  <si>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</si>
  <si>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</si>
  <si>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</si>
  <si>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</si>
  <si>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</si>
  <si>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</si>
  <si>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</si>
  <si>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</si>
  <si>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</si>
  <si>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</si>
  <si>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</si>
  <si>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ICEL S.r.l.</t>
  </si>
  <si>
    <t>All capacitors and components produced by ICEL S.r.l.</t>
  </si>
  <si>
    <t>Walter Mariani; Andrea Favareto</t>
  </si>
  <si>
    <t>walter.mariani@icel.it; andrea.favareto@icel.it</t>
  </si>
  <si>
    <t>+390331500510</t>
  </si>
  <si>
    <t>Quality Engineering Manager</t>
  </si>
  <si>
    <t>walter.mariani@icel.it</t>
  </si>
  <si>
    <t>100%</t>
  </si>
  <si>
    <t>www.icel.it</t>
  </si>
  <si>
    <t>All ICEL S.r.l. production codes</t>
  </si>
  <si>
    <t>Valid for 100% of ICEL S.r.l. Production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</si>
</sst>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0" fillId="0" borderId="48" xfId="0" applyNumberFormat="1" applyBorder="1" applyAlignment="1" applyProtection="1">
      <alignment horizontal="left" vertical="center" wrapText="1"/>
      <protection locked="0"/>
    </xf>
    <xf numFmtId="0" fontId="0" fillId="33" borderId="48" xfId="0"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rmale" xfId="0" builtinId="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walter.mariani@icel.i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icel.i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E67" sqref="E6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05801F4-1C71-46CB-A2A8-388D6BC8CFA9}"/>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88AF39A9-5A3F-4A18-91A3-607197661F0D}"/>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1" zoomScale="60" zoomScaleNormal="60"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492</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 (*)</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45419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1AF71FB9-BA51-4184-B0B1-FD16580ED429}"/>
    <hyperlink ref="G77" r:id="rId4" xr:uid="{CDB9550D-8469-46D1-A48B-0F09BFC4513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21" zoomScaleNormal="100" zoomScalePageLayoutView="55" workbookViewId="0">
      <selection activeCell="C11" sqref="C1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766</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474</v>
      </c>
      <c r="X5" s="227">
        <f t="shared" ref="X5" ca="1" si="0">IF(AND(C5="Smelter not listed",OR(LEN(D5)=0,LEN(E5)=0)),1,0)</f>
        <v>0</v>
      </c>
      <c r="AB5" s="228" t="str">
        <f t="shared" ref="AB5" ca="1" si="1">B5&amp;C5</f>
        <v>TinMalaysia Smelting Corporation (MSC)</v>
      </c>
    </row>
    <row r="6" spans="1:34" s="227" customFormat="1" ht="20.100000000000001" customHeight="1">
      <c r="A6" s="262" t="s">
        <v>776</v>
      </c>
      <c r="B6" s="182" t="str">
        <f ca="1">IF(LEN(A6)=0,"",INDEX('Smelter Look-up'!$A:$A,MATCH($A6,'Smelter Look-up'!$E:$E,0)))</f>
        <v>Tin</v>
      </c>
      <c r="C6" s="186" t="str">
        <f ca="1">IF(LEN(A6)=0,"",INDEX('Smelter Look-up'!$C:$C,MATCH($A6,'Smelter Look-up'!$E:$E,0)))</f>
        <v>PT Timah Tbk Mentok</v>
      </c>
      <c r="D6" s="230"/>
      <c r="E6" s="182" t="str">
        <f ca="1">IF(ISERROR($V6),"",OFFSET('Smelter Look-up'!$D$4,$V6-4,0)&amp;"")</f>
        <v>INDONESIA</v>
      </c>
      <c r="F6" s="182" t="str">
        <f ca="1">IF(ISERROR($V6),"",OFFSET('Smelter Look-up'!$E$4,$V6-4,0))</f>
        <v>CID001482</v>
      </c>
      <c r="G6" s="182" t="str">
        <f ca="1">IF(C6=$X$4,IF(ISERROR($V6),"Enter smelter details","RMI"),IF(ISERROR($V6),"",OFFSET('Smelter Look-up'!$F$4,$V6-4,0)))</f>
        <v>RMI</v>
      </c>
      <c r="H6" s="183">
        <f ca="1">IF(ISERROR($V6),"",OFFSET('Smelter Look-up'!$G$4,$V6-4,0))</f>
        <v>0</v>
      </c>
      <c r="I6" s="184" t="str">
        <f ca="1">IF(ISERROR($V6),"",OFFSET('Smelter Look-up'!$H$4,$V6-4,0))</f>
        <v>Mentok</v>
      </c>
      <c r="J6" s="184" t="str">
        <f ca="1">IF(ISERROR($V6),"",OFFSET('Smelter Look-up'!$I$4,$V6-4,0))</f>
        <v>Kepulauan Bangka Belitung</v>
      </c>
      <c r="K6" s="224"/>
      <c r="L6" s="224"/>
      <c r="M6" s="224"/>
      <c r="N6" s="224"/>
      <c r="O6" s="224"/>
      <c r="P6" s="185"/>
      <c r="Q6" s="225"/>
      <c r="R6" s="182" t="str">
        <f ca="1">IF(ISERROR($V6),"",OFFSET('Smelter Look-up'!$C$4,$V6-4,0)&amp;"")</f>
        <v>PT Timah Tbk Mentok</v>
      </c>
      <c r="S6" s="181" t="str">
        <f t="shared" ref="S6:S36"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533</v>
      </c>
      <c r="X6" s="227">
        <f t="shared" ref="X6:X36" ca="1" si="3">IF(AND(C6="Smelter not listed",OR(LEN(D6)=0,LEN(E6)=0)),1,0)</f>
        <v>0</v>
      </c>
      <c r="AB6" s="228" t="str">
        <f t="shared" ref="AB6:AB36" ca="1" si="4">B6&amp;C6</f>
        <v>TinPT Timah Tbk Mentok</v>
      </c>
    </row>
    <row r="7" spans="1:34" s="227" customFormat="1" ht="20.100000000000001" customHeight="1">
      <c r="A7" s="262" t="s">
        <v>1801</v>
      </c>
      <c r="B7" s="182" t="str">
        <f ca="1">IF(LEN(A7)=0,"",INDEX('Smelter Look-up'!$A:$A,MATCH($A7,'Smelter Look-up'!$E:$E,0)))</f>
        <v>Tin</v>
      </c>
      <c r="C7" s="186" t="str">
        <f ca="1">IF(LEN(A7)=0,"",INDEX('Smelter Look-up'!$C:$C,MATCH($A7,'Smelter Look-up'!$E:$E,0)))</f>
        <v>Aurubis Beerse</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c r="R7" s="182" t="str">
        <f ca="1">IF(ISERROR($V7),"",OFFSET('Smelter Look-up'!$C$4,$V7-4,0)&amp;"")</f>
        <v>Aurubis Beerse</v>
      </c>
      <c r="S7" s="181" t="str">
        <f t="shared" ca="1" si="2"/>
        <v>BE</v>
      </c>
      <c r="T7" s="181" t="str">
        <f ca="1">IF(B7="","",IF(ISERROR(MATCH($J7,SorP!$B$1:$B$6226,0)),"",INDIRECT("'SorP'!$A$"&amp;MATCH($S7&amp;$J7,SorP!C:C,0))))</f>
        <v>BE-VAN</v>
      </c>
      <c r="U7" s="201"/>
      <c r="V7" s="226">
        <f ca="1">IF(C7="",NA(),IF(OR(C7="Smelter not listed",C7="Smelter not yet identified"),MATCH($B7&amp;$D7,'Smelter Look-up'!$J:$J,0),MATCH($B7&amp;$C7,'Smelter Look-up'!$J:$J,0)))</f>
        <v>405</v>
      </c>
      <c r="X7" s="227">
        <f t="shared" ca="1" si="3"/>
        <v>0</v>
      </c>
      <c r="AB7" s="228" t="str">
        <f t="shared" ca="1" si="4"/>
        <v>TinAurubis Beerse</v>
      </c>
    </row>
    <row r="8" spans="1:34" s="227" customFormat="1" ht="20.100000000000001" customHeight="1">
      <c r="A8" s="399" t="s">
        <v>794</v>
      </c>
      <c r="B8" s="182" t="str">
        <f ca="1">IF(LEN(A8)=0,"",INDEX('Smelter Look-up'!$A:$A,MATCH($A8,'Smelter Look-up'!$E:$E,0)))</f>
        <v>Tin</v>
      </c>
      <c r="C8" s="186" t="str">
        <f ca="1">IF(LEN(A8)=0,"",INDEX('Smelter Look-up'!$C:$C,MATCH($A8,'Smelter Look-up'!$E:$E,0)))</f>
        <v>PT Timah Tbk Kundur</v>
      </c>
      <c r="D8" s="230"/>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4"/>
      <c r="L8" s="224"/>
      <c r="M8" s="224"/>
      <c r="N8" s="224"/>
      <c r="O8" s="224"/>
      <c r="P8" s="185"/>
      <c r="Q8" s="225"/>
      <c r="R8" s="182" t="str">
        <f ca="1">IF(ISERROR($V8),"",OFFSET('Smelter Look-up'!$C$4,$V8-4,0)&amp;"")</f>
        <v>PT Timah Tbk Kundur</v>
      </c>
      <c r="S8" s="181" t="str">
        <f t="shared" ca="1" si="2"/>
        <v>ID</v>
      </c>
      <c r="T8" s="181" t="str">
        <f ca="1">IF(B8="","",IF(ISERROR(MATCH($J8,SorP!$B$1:$B$6226,0)),"",INDIRECT("'SorP'!$A$"&amp;MATCH($S8&amp;$J8,SorP!C:C,0))))</f>
        <v>ID-RI</v>
      </c>
      <c r="U8" s="201"/>
      <c r="V8" s="226">
        <f ca="1">IF(C8="",NA(),IF(OR(C8="Smelter not listed",C8="Smelter not yet identified"),MATCH($B8&amp;$D8,'Smelter Look-up'!$J:$J,0),MATCH($B8&amp;$C8,'Smelter Look-up'!$J:$J,0)))</f>
        <v>532</v>
      </c>
      <c r="X8" s="227">
        <f t="shared" ca="1" si="3"/>
        <v>0</v>
      </c>
      <c r="AB8" s="228" t="str">
        <f t="shared" ca="1" si="4"/>
        <v>TinPT Timah Tbk Kundur</v>
      </c>
    </row>
    <row r="9" spans="1:34" s="227" customFormat="1" ht="20.100000000000001" customHeight="1">
      <c r="A9" s="399" t="s">
        <v>775</v>
      </c>
      <c r="B9" s="182" t="str">
        <f ca="1">IF(LEN(A9)=0,"",INDEX('Smelter Look-up'!$A:$A,MATCH($A9,'Smelter Look-up'!$E:$E,0)))</f>
        <v>Tin</v>
      </c>
      <c r="C9" s="186" t="str">
        <f ca="1">IF(LEN(A9)=0,"",INDEX('Smelter Look-up'!$C:$C,MATCH($A9,'Smelter Look-up'!$E:$E,0)))</f>
        <v>PT Refined Bangka Tin</v>
      </c>
      <c r="D9" s="230"/>
      <c r="E9" s="182" t="str">
        <f ca="1">IF(ISERROR($V9),"",OFFSET('Smelter Look-up'!$D$4,$V9-4,0)&amp;"")</f>
        <v>INDONESIA</v>
      </c>
      <c r="F9" s="182" t="str">
        <f ca="1">IF(ISERROR($V9),"",OFFSET('Smelter Look-up'!$E$4,$V9-4,0))</f>
        <v>CID001460</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Refined Bangka Tin</v>
      </c>
      <c r="S9" s="181" t="str">
        <f t="shared" ca="1" si="2"/>
        <v>ID</v>
      </c>
      <c r="T9" s="181" t="str">
        <f ca="1">IF(B9="","",IF(ISERROR(MATCH($J9,SorP!$B$1:$B$6226,0)),"",INDIRECT("'SorP'!$A$"&amp;MATCH($S9&amp;$J9,SorP!C:C,0))))</f>
        <v>ID-BB</v>
      </c>
      <c r="U9" s="201"/>
      <c r="V9" s="226">
        <f ca="1">IF(C9="",NA(),IF(OR(C9="Smelter not listed",C9="Smelter not yet identified"),MATCH($B9&amp;$D9,'Smelter Look-up'!$J:$J,0),MATCH($B9&amp;$C9,'Smelter Look-up'!$J:$J,0)))</f>
        <v>526</v>
      </c>
      <c r="X9" s="227">
        <f t="shared" ca="1" si="3"/>
        <v>0</v>
      </c>
      <c r="AB9" s="228" t="str">
        <f t="shared" ca="1" si="4"/>
        <v>TinPT Refined Bangka Tin</v>
      </c>
    </row>
    <row r="10" spans="1:34" s="227" customFormat="1" ht="20.100000000000001" customHeight="1">
      <c r="A10" s="399" t="s">
        <v>779</v>
      </c>
      <c r="B10" s="182" t="str">
        <f ca="1">IF(LEN(A10)=0,"",INDEX('Smelter Look-up'!$A:$A,MATCH($A10,'Smelter Look-up'!$E:$E,0)))</f>
        <v>Tin</v>
      </c>
      <c r="C10" s="186" t="str">
        <f ca="1">IF(LEN(A10)=0,"",INDEX('Smelter Look-up'!$C:$C,MATCH($A10,'Smelter Look-up'!$E:$E,0)))</f>
        <v>Thaisarco</v>
      </c>
      <c r="D10" s="230"/>
      <c r="E10" s="182" t="str">
        <f ca="1">IF(ISERROR($V10),"",OFFSET('Smelter Look-up'!$D$4,$V10-4,0)&amp;"")</f>
        <v>THAILAND</v>
      </c>
      <c r="F10" s="182" t="str">
        <f ca="1">IF(ISERROR($V10),"",OFFSET('Smelter Look-up'!$E$4,$V10-4,0))</f>
        <v>CID001898</v>
      </c>
      <c r="G10" s="182" t="str">
        <f ca="1">IF(C10=$X$4,IF(ISERROR($V10),"Enter smelter details","RMI"),IF(ISERROR($V10),"",OFFSET('Smelter Look-up'!$F$4,$V10-4,0)))</f>
        <v>RMI</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 ca="1">IF(C10="",NA(),IF(OR(C10="Smelter not listed",C10="Smelter not yet identified"),MATCH($B10&amp;$D10,'Smelter Look-up'!$J:$J,0),MATCH($B10&amp;$C10,'Smelter Look-up'!$J:$J,0)))</f>
        <v>547</v>
      </c>
      <c r="X10" s="227">
        <f t="shared" ca="1" si="3"/>
        <v>0</v>
      </c>
      <c r="AB10" s="228" t="str">
        <f t="shared" ca="1" si="4"/>
        <v>TinThaisarco</v>
      </c>
    </row>
    <row r="11" spans="1:34" s="227" customFormat="1" ht="20.100000000000001" customHeight="1">
      <c r="A11" s="399" t="s">
        <v>1801</v>
      </c>
      <c r="B11" s="182" t="str">
        <f ca="1">IF(LEN(A11)=0,"",INDEX('Smelter Look-up'!$A:$A,MATCH($A11,'Smelter Look-up'!$E:$E,0)))</f>
        <v>Tin</v>
      </c>
      <c r="C11" s="186" t="str">
        <f ca="1">IF(LEN(A11)=0,"",INDEX('Smelter Look-up'!$C:$C,MATCH($A11,'Smelter Look-up'!$E:$E,0)))</f>
        <v>Aurubis Beerse</v>
      </c>
      <c r="D11" s="230"/>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c r="R11" s="182" t="str">
        <f ca="1">IF(ISERROR($V11),"",OFFSET('Smelter Look-up'!$C$4,$V11-4,0)&amp;"")</f>
        <v>Aurubis Beerse</v>
      </c>
      <c r="S11" s="181" t="str">
        <f t="shared" ca="1" si="2"/>
        <v>BE</v>
      </c>
      <c r="T11" s="181" t="str">
        <f ca="1">IF(B11="","",IF(ISERROR(MATCH($J11,SorP!$B$1:$B$6226,0)),"",INDIRECT("'SorP'!$A$"&amp;MATCH($S11&amp;$J11,SorP!C:C,0))))</f>
        <v>BE-VAN</v>
      </c>
      <c r="U11" s="201"/>
      <c r="V11" s="226">
        <f ca="1">IF(C11="",NA(),IF(OR(C11="Smelter not listed",C11="Smelter not yet identified"),MATCH($B11&amp;$D11,'Smelter Look-up'!$J:$J,0),MATCH($B11&amp;$C11,'Smelter Look-up'!$J:$J,0)))</f>
        <v>405</v>
      </c>
      <c r="X11" s="227">
        <f t="shared" ca="1" si="3"/>
        <v>0</v>
      </c>
      <c r="AB11" s="228" t="str">
        <f t="shared" ca="1" si="4"/>
        <v>TinAurubis Beerse</v>
      </c>
    </row>
    <row r="12" spans="1:34" s="227" customFormat="1" ht="20.100000000000001" customHeight="1">
      <c r="A12" s="399" t="s">
        <v>768</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 ca="1">IF(C12="",NA(),IF(OR(C12="Smelter not listed",C12="Smelter not yet identified"),MATCH($B12&amp;$D12,'Smelter Look-up'!$J:$J,0),MATCH($B12&amp;$C12,'Smelter Look-up'!$J:$J,0)))</f>
        <v>487</v>
      </c>
      <c r="X12" s="227">
        <f t="shared" ca="1" si="3"/>
        <v>0</v>
      </c>
      <c r="AB12" s="228" t="str">
        <f t="shared" ca="1" si="4"/>
        <v>TinMinsur</v>
      </c>
    </row>
    <row r="13" spans="1:34" s="227" customFormat="1" ht="20.100000000000001" customHeight="1">
      <c r="A13" s="399" t="s">
        <v>772</v>
      </c>
      <c r="B13" s="182" t="str">
        <f ca="1">IF(LEN(A13)=0,"",INDEX('Smelter Look-up'!$A:$A,MATCH($A13,'Smelter Look-up'!$E:$E,0)))</f>
        <v>Tin</v>
      </c>
      <c r="C13" s="186" t="str">
        <f ca="1">IF(LEN(A13)=0,"",INDEX('Smelter Look-up'!$C:$C,MATCH($A13,'Smelter Look-up'!$E:$E,0)))</f>
        <v>Operaciones Metalurgicas S.A.</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Operaciones Metalurgicas S.A.</v>
      </c>
      <c r="S13" s="181" t="str">
        <f t="shared" ca="1" si="2"/>
        <v>BO</v>
      </c>
      <c r="T13" s="181" t="str">
        <f ca="1">IF(B13="","",IF(ISERROR(MATCH($J13,SorP!$B$1:$B$6226,0)),"",INDIRECT("'SorP'!$A$"&amp;MATCH($S13&amp;$J13,SorP!C:C,0))))</f>
        <v>BO-O</v>
      </c>
      <c r="U13" s="201"/>
      <c r="V13" s="226">
        <f ca="1">IF(C13="",NA(),IF(OR(C13="Smelter not listed",C13="Smelter not yet identified"),MATCH($B13&amp;$D13,'Smelter Look-up'!$J:$J,0),MATCH($B13&amp;$C13,'Smelter Look-up'!$J:$J,0)))</f>
        <v>499</v>
      </c>
      <c r="X13" s="227">
        <f t="shared" ca="1" si="3"/>
        <v>0</v>
      </c>
      <c r="AB13" s="228" t="str">
        <f t="shared" ca="1" si="4"/>
        <v>TinOperaciones Metalurgicas S.A.</v>
      </c>
    </row>
    <row r="14" spans="1:34" s="227" customFormat="1" ht="20.100000000000001" customHeight="1">
      <c r="A14" s="399" t="s">
        <v>767</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Bairro Guarapiranga</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2"/>
        <v>BR</v>
      </c>
      <c r="T14" s="181" t="str">
        <f ca="1">IF(B14="","",IF(ISERROR(MATCH($J14,SorP!$B$1:$B$6226,0)),"",INDIRECT("'SorP'!$A$"&amp;MATCH($S14&amp;$J14,SorP!C:C,0))))</f>
        <v>BR-SP</v>
      </c>
      <c r="U14" s="201"/>
      <c r="V14" s="226">
        <f ca="1">IF(C14="",NA(),IF(OR(C14="Smelter not listed",C14="Smelter not yet identified"),MATCH($B14&amp;$D14,'Smelter Look-up'!$J:$J,0),MATCH($B14&amp;$C14,'Smelter Look-up'!$J:$J,0)))</f>
        <v>482</v>
      </c>
      <c r="X14" s="227">
        <f t="shared" ca="1" si="3"/>
        <v>0</v>
      </c>
      <c r="AB14" s="228" t="str">
        <f t="shared" ca="1" si="4"/>
        <v>TinMineracao Taboca S.A.</v>
      </c>
    </row>
    <row r="15" spans="1:34" s="227" customFormat="1" ht="20.100000000000001" customHeight="1">
      <c r="A15" s="399" t="s">
        <v>13841</v>
      </c>
      <c r="B15" s="182" t="str">
        <f ca="1">IF(LEN(A15)=0,"",INDEX('Smelter Look-up'!$A:$A,MATCH($A15,'Smelter Look-up'!$E:$E,0)))</f>
        <v>Tin</v>
      </c>
      <c r="C15" s="186" t="str">
        <f ca="1">IF(LEN(A15)=0,"",INDEX('Smelter Look-up'!$C:$C,MATCH($A15,'Smelter Look-up'!$E:$E,0)))</f>
        <v>PT Mitra Sukses Globalindo</v>
      </c>
      <c r="D15" s="230"/>
      <c r="E15" s="182" t="str">
        <f ca="1">IF(ISERROR($V15),"",OFFSET('Smelter Look-up'!$D$4,$V15-4,0)&amp;"")</f>
        <v>INDONESIA</v>
      </c>
      <c r="F15" s="182" t="str">
        <f ca="1">IF(ISERROR($V15),"",OFFSET('Smelter Look-up'!$E$4,$V15-4,0))</f>
        <v>CID003449</v>
      </c>
      <c r="G15" s="182" t="str">
        <f ca="1">IF(C15=$X$4,IF(ISERROR($V15),"Enter smelter details","RMI"),IF(ISERROR($V15),"",OFFSET('Smelter Look-up'!$F$4,$V15-4,0)))</f>
        <v>RMI</v>
      </c>
      <c r="H15" s="183">
        <f ca="1">IF(ISERROR($V15),"",OFFSET('Smelter Look-up'!$G$4,$V15-4,0))</f>
        <v>0</v>
      </c>
      <c r="I15" s="184" t="str">
        <f ca="1">IF(ISERROR($V15),"",OFFSET('Smelter Look-up'!$H$4,$V15-4,0))</f>
        <v>Pangkalpinang</v>
      </c>
      <c r="J15" s="184" t="str">
        <f ca="1">IF(ISERROR($V15),"",OFFSET('Smelter Look-up'!$I$4,$V15-4,0))</f>
        <v>Kepulauan Bangka Belitung</v>
      </c>
      <c r="K15" s="224"/>
      <c r="L15" s="224"/>
      <c r="M15" s="224"/>
      <c r="N15" s="224"/>
      <c r="O15" s="224"/>
      <c r="P15" s="185"/>
      <c r="Q15" s="225"/>
      <c r="R15" s="182" t="str">
        <f ca="1">IF(ISERROR($V15),"",OFFSET('Smelter Look-up'!$C$4,$V15-4,0)&amp;"")</f>
        <v>PT Mitra Sukses Globalindo</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519</v>
      </c>
      <c r="X15" s="227">
        <f t="shared" ca="1" si="3"/>
        <v>0</v>
      </c>
      <c r="AB15" s="228" t="str">
        <f t="shared" ca="1" si="4"/>
        <v>TinPT Mitra Sukses Globalindo</v>
      </c>
    </row>
    <row r="16" spans="1:34" s="227" customFormat="1" ht="20.100000000000001" customHeight="1">
      <c r="A16" s="399" t="s">
        <v>14001</v>
      </c>
      <c r="B16" s="182" t="str">
        <f ca="1">IF(LEN(A16)=0,"",INDEX('Smelter Look-up'!$A:$A,MATCH($A16,'Smelter Look-up'!$E:$E,0)))</f>
        <v>Tin</v>
      </c>
      <c r="C16" s="186" t="str">
        <f ca="1">IF(LEN(A16)=0,"",INDEX('Smelter Look-up'!$C:$C,MATCH($A16,'Smelter Look-up'!$E:$E,0)))</f>
        <v>PT Bangka Serumpun</v>
      </c>
      <c r="D16" s="230"/>
      <c r="E16" s="182" t="str">
        <f ca="1">IF(ISERROR($V16),"",OFFSET('Smelter Look-up'!$D$4,$V16-4,0)&amp;"")</f>
        <v>INDONESIA</v>
      </c>
      <c r="F16" s="182" t="str">
        <f ca="1">IF(ISERROR($V16),"",OFFSET('Smelter Look-up'!$E$4,$V16-4,0))</f>
        <v>CID003205</v>
      </c>
      <c r="G16" s="182" t="str">
        <f ca="1">IF(C16=$X$4,IF(ISERROR($V16),"Enter smelter details","RMI"),IF(ISERROR($V16),"",OFFSET('Smelter Look-up'!$F$4,$V16-4,0)))</f>
        <v>RMI</v>
      </c>
      <c r="H16" s="183">
        <f ca="1">IF(ISERROR($V16),"",OFFSET('Smelter Look-up'!$G$4,$V16-4,0))</f>
        <v>0</v>
      </c>
      <c r="I16" s="184" t="str">
        <f ca="1">IF(ISERROR($V16),"",OFFSET('Smelter Look-up'!$H$4,$V16-4,0))</f>
        <v>Pangkalpinang</v>
      </c>
      <c r="J16" s="184" t="str">
        <f ca="1">IF(ISERROR($V16),"",OFFSET('Smelter Look-up'!$I$4,$V16-4,0))</f>
        <v>Kepulauan Bangka Belitung</v>
      </c>
      <c r="K16" s="224"/>
      <c r="L16" s="224"/>
      <c r="M16" s="224"/>
      <c r="N16" s="224"/>
      <c r="O16" s="224"/>
      <c r="P16" s="185"/>
      <c r="Q16" s="225"/>
      <c r="R16" s="182" t="str">
        <f ca="1">IF(ISERROR($V16),"",OFFSET('Smelter Look-up'!$C$4,$V16-4,0)&amp;"")</f>
        <v>PT Bangka Serumpun</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509</v>
      </c>
      <c r="X16" s="227">
        <f t="shared" ca="1" si="3"/>
        <v>0</v>
      </c>
      <c r="AB16" s="228" t="str">
        <f t="shared" ca="1" si="4"/>
        <v>TinPT Bangka Serumpun</v>
      </c>
    </row>
    <row r="17" spans="1:28" s="227" customFormat="1" ht="20.100000000000001" customHeight="1">
      <c r="A17" s="400" t="s">
        <v>15076</v>
      </c>
      <c r="B17" s="182" t="str">
        <f ca="1">IF(LEN(A17)=0,"",INDEX('Smelter Look-up'!$A:$A,MATCH($A17,'Smelter Look-up'!$E:$E,0)))</f>
        <v>Tin</v>
      </c>
      <c r="C17" s="186" t="str">
        <f ca="1">IF(LEN(A17)=0,"",INDEX('Smelter Look-up'!$C:$C,MATCH($A17,'Smelter Look-up'!$E:$E,0)))</f>
        <v>PT Babel Surya Alam Lestari</v>
      </c>
      <c r="D17" s="230"/>
      <c r="E17" s="182" t="str">
        <f ca="1">IF(ISERROR($V17),"",OFFSET('Smelter Look-up'!$D$4,$V17-4,0)&amp;"")</f>
        <v>INDONESIA</v>
      </c>
      <c r="F17" s="182" t="str">
        <f ca="1">IF(ISERROR($V17),"",OFFSET('Smelter Look-up'!$E$4,$V17-4,0))</f>
        <v>CID001406</v>
      </c>
      <c r="G17" s="182" t="str">
        <f ca="1">IF(C17=$X$4,IF(ISERROR($V17),"Enter smelter details","RMI"),IF(ISERROR($V17),"",OFFSET('Smelter Look-up'!$F$4,$V17-4,0)))</f>
        <v>RMI</v>
      </c>
      <c r="H17" s="183">
        <f ca="1">IF(ISERROR($V17),"",OFFSET('Smelter Look-up'!$G$4,$V17-4,0))</f>
        <v>0</v>
      </c>
      <c r="I17" s="184" t="str">
        <f ca="1">IF(ISERROR($V17),"",OFFSET('Smelter Look-up'!$H$4,$V17-4,0))</f>
        <v>Badau</v>
      </c>
      <c r="J17" s="184" t="str">
        <f ca="1">IF(ISERROR($V17),"",OFFSET('Smelter Look-up'!$I$4,$V17-4,0))</f>
        <v>Kepulauan Bangka Belitung</v>
      </c>
      <c r="K17" s="224"/>
      <c r="L17" s="224"/>
      <c r="M17" s="224"/>
      <c r="N17" s="224"/>
      <c r="O17" s="224"/>
      <c r="P17" s="185"/>
      <c r="Q17" s="225"/>
      <c r="R17" s="182" t="str">
        <f ca="1">IF(ISERROR($V17),"",OFFSET('Smelter Look-up'!$C$4,$V17-4,0)&amp;"")</f>
        <v>PT Babel Surya Alam Lestari</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507</v>
      </c>
      <c r="X17" s="227">
        <f t="shared" ca="1" si="3"/>
        <v>0</v>
      </c>
      <c r="AB17" s="228" t="str">
        <f t="shared" ca="1" si="4"/>
        <v>TinPT Babel Surya Alam Lestari</v>
      </c>
    </row>
    <row r="18" spans="1:28" s="227" customFormat="1" ht="20.25">
      <c r="A18" s="400" t="s">
        <v>1392</v>
      </c>
      <c r="B18" s="182" t="str">
        <f ca="1">IF(LEN(A18)=0,"",INDEX('Smelter Look-up'!$A:$A,MATCH($A18,'Smelter Look-up'!$E:$E,0)))</f>
        <v>Tin</v>
      </c>
      <c r="C18" s="186" t="str">
        <f ca="1">IF(LEN(A18)=0,"",INDEX('Smelter Look-up'!$C:$C,MATCH($A18,'Smelter Look-up'!$E:$E,0)))</f>
        <v>PT ATD Makmur Mandiri Jaya</v>
      </c>
      <c r="D18" s="230"/>
      <c r="E18" s="182" t="str">
        <f ca="1">IF(ISERROR($V18),"",OFFSET('Smelter Look-up'!$D$4,$V18-4,0)&amp;"")</f>
        <v>INDONESIA</v>
      </c>
      <c r="F18" s="182" t="str">
        <f ca="1">IF(ISERROR($V18),"",OFFSET('Smelter Look-up'!$E$4,$V18-4,0))</f>
        <v>CID002503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c r="R18" s="182" t="str">
        <f ca="1">IF(ISERROR($V18),"",OFFSET('Smelter Look-up'!$C$4,$V18-4,0)&amp;"")</f>
        <v>PT ATD Makmur Mandiri Jaya</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505</v>
      </c>
      <c r="X18" s="227">
        <f t="shared" ca="1" si="3"/>
        <v>0</v>
      </c>
      <c r="AB18" s="228" t="str">
        <f t="shared" ca="1" si="4"/>
        <v>TinPT ATD Makmur Mandiri Jaya</v>
      </c>
    </row>
    <row r="19" spans="1:28" s="227" customFormat="1" ht="20.25">
      <c r="A19" s="400" t="s">
        <v>15082</v>
      </c>
      <c r="B19" s="182" t="str">
        <f ca="1">IF(LEN(A19)=0,"",INDEX('Smelter Look-up'!$A:$A,MATCH($A19,'Smelter Look-up'!$E:$E,0)))</f>
        <v>Tin</v>
      </c>
      <c r="C19" s="186" t="str">
        <f ca="1">IF(LEN(A19)=0,"",INDEX('Smelter Look-up'!$C:$C,MATCH($A19,'Smelter Look-up'!$E:$E,0)))</f>
        <v>PT Rajawali Rimba Perkasa</v>
      </c>
      <c r="D19" s="230"/>
      <c r="E19" s="182" t="str">
        <f ca="1">IF(ISERROR($V19),"",OFFSET('Smelter Look-up'!$D$4,$V19-4,0)&amp;"")</f>
        <v>INDONESIA</v>
      </c>
      <c r="F19" s="182" t="str">
        <f ca="1">IF(ISERROR($V19),"",OFFSET('Smelter Look-up'!$E$4,$V19-4,0))</f>
        <v>CID003381</v>
      </c>
      <c r="G19" s="182" t="str">
        <f ca="1">IF(C19=$X$4,IF(ISERROR($V19),"Enter smelter details","RMI"),IF(ISERROR($V19),"",OFFSET('Smelter Look-up'!$F$4,$V19-4,0)))</f>
        <v>RMI</v>
      </c>
      <c r="H19" s="183">
        <f ca="1">IF(ISERROR($V19),"",OFFSET('Smelter Look-up'!$G$4,$V19-4,0))</f>
        <v>0</v>
      </c>
      <c r="I19" s="184" t="str">
        <f ca="1">IF(ISERROR($V19),"",OFFSET('Smelter Look-up'!$H$4,$V19-4,0))</f>
        <v>Tukak Sadai</v>
      </c>
      <c r="J19" s="184" t="str">
        <f ca="1">IF(ISERROR($V19),"",OFFSET('Smelter Look-up'!$I$4,$V19-4,0))</f>
        <v>Kepulauan Bangka Belitung</v>
      </c>
      <c r="K19" s="224"/>
      <c r="L19" s="224"/>
      <c r="M19" s="224"/>
      <c r="N19" s="224"/>
      <c r="O19" s="224"/>
      <c r="P19" s="185"/>
      <c r="Q19" s="225"/>
      <c r="R19" s="182" t="str">
        <f ca="1">IF(ISERROR($V19),"",OFFSET('Smelter Look-up'!$C$4,$V19-4,0)&amp;"")</f>
        <v>PT Rajawali Rimba Perkasa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524</v>
      </c>
      <c r="X19" s="227">
        <f t="shared" ca="1" si="3"/>
        <v>0</v>
      </c>
      <c r="AB19" s="228" t="str">
        <f t="shared" ca="1" si="4"/>
        <v>TinPT Rajawali Rimba Perkasa</v>
      </c>
    </row>
    <row r="20" spans="1:28" s="227" customFormat="1" ht="20.25">
      <c r="A20" s="400" t="s">
        <v>773</v>
      </c>
      <c r="B20" s="182" t="str">
        <f ca="1">IF(LEN(A20)=0,"",INDEX('Smelter Look-up'!$A:$A,MATCH($A20,'Smelter Look-up'!$E:$E,0)))</f>
        <v>Tin</v>
      </c>
      <c r="C20" s="186" t="str">
        <f ca="1">IF(LEN(A20)=0,"",INDEX('Smelter Look-up'!$C:$C,MATCH($A20,'Smelter Look-up'!$E:$E,0)))</f>
        <v>PT Artha Cipta Langgeng</v>
      </c>
      <c r="D20" s="230"/>
      <c r="E20" s="182" t="str">
        <f ca="1">IF(ISERROR($V20),"",OFFSET('Smelter Look-up'!$D$4,$V20-4,0)&amp;"")</f>
        <v>INDONESIA</v>
      </c>
      <c r="F20" s="182" t="str">
        <f ca="1">IF(ISERROR($V20),"",OFFSET('Smelter Look-up'!$E$4,$V20-4,0))</f>
        <v>CID001399</v>
      </c>
      <c r="G20" s="182" t="str">
        <f ca="1">IF(C20=$X$4,IF(ISERROR($V20),"Enter smelter details","RMI"),IF(ISERROR($V20),"",OFFSET('Smelter Look-up'!$F$4,$V20-4,0)))</f>
        <v>RMI</v>
      </c>
      <c r="H20" s="183">
        <f ca="1">IF(ISERROR($V20),"",OFFSET('Smelter Look-up'!$G$4,$V20-4,0))</f>
        <v>0</v>
      </c>
      <c r="I20" s="184" t="str">
        <f ca="1">IF(ISERROR($V20),"",OFFSET('Smelter Look-up'!$H$4,$V20-4,0))</f>
        <v>Sungailiat</v>
      </c>
      <c r="J20" s="184" t="str">
        <f ca="1">IF(ISERROR($V20),"",OFFSET('Smelter Look-up'!$I$4,$V20-4,0))</f>
        <v>Kepulauan Bangka Belitung</v>
      </c>
      <c r="K20" s="224"/>
      <c r="L20" s="224"/>
      <c r="M20" s="224"/>
      <c r="N20" s="224"/>
      <c r="O20" s="224"/>
      <c r="P20" s="185"/>
      <c r="Q20" s="225"/>
      <c r="R20" s="182" t="str">
        <f ca="1">IF(ISERROR($V20),"",OFFSET('Smelter Look-up'!$C$4,$V20-4,0)&amp;"")</f>
        <v>PT Artha Cipta Langgeng</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504</v>
      </c>
      <c r="X20" s="227">
        <f t="shared" ca="1" si="3"/>
        <v>0</v>
      </c>
      <c r="AB20" s="228" t="str">
        <f t="shared" ca="1" si="4"/>
        <v>TinPT Artha Cipta Langgeng</v>
      </c>
    </row>
    <row r="21" spans="1:28" s="227" customFormat="1" ht="20.25">
      <c r="A21" s="400" t="s">
        <v>15084</v>
      </c>
      <c r="B21" s="182" t="str">
        <f ca="1">IF(LEN(A21)=0,"",INDEX('Smelter Look-up'!$A:$A,MATCH($A21,'Smelter Look-up'!$E:$E,0)))</f>
        <v>Tin</v>
      </c>
      <c r="C21" s="186" t="str">
        <f ca="1">IF(LEN(A21)=0,"",INDEX('Smelter Look-up'!$C:$C,MATCH($A21,'Smelter Look-up'!$E:$E,0)))</f>
        <v>PT Stanindo Inti Perkasa</v>
      </c>
      <c r="D21" s="230"/>
      <c r="E21" s="182" t="str">
        <f ca="1">IF(ISERROR($V21),"",OFFSET('Smelter Look-up'!$D$4,$V21-4,0)&amp;"")</f>
        <v>INDONESIA</v>
      </c>
      <c r="F21" s="182" t="str">
        <f ca="1">IF(ISERROR($V21),"",OFFSET('Smelter Look-up'!$E$4,$V21-4,0))</f>
        <v>CID001468</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c r="R21" s="182" t="str">
        <f ca="1">IF(ISERROR($V21),"",OFFSET('Smelter Look-up'!$C$4,$V21-4,0)&amp;"")</f>
        <v>PT Stanindo Inti Perkasa</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528</v>
      </c>
      <c r="X21" s="227">
        <f t="shared" ca="1" si="3"/>
        <v>0</v>
      </c>
      <c r="AB21" s="228" t="str">
        <f t="shared" ca="1" si="4"/>
        <v>TinPT Stanindo Inti Perkasa</v>
      </c>
    </row>
    <row r="22" spans="1:28" s="227" customFormat="1" ht="20.25">
      <c r="A22" s="400" t="s">
        <v>13840</v>
      </c>
      <c r="B22" s="182" t="str">
        <f ca="1">IF(LEN(A22)=0,"",INDEX('Smelter Look-up'!$A:$A,MATCH($A22,'Smelter Look-up'!$E:$E,0)))</f>
        <v>Tin</v>
      </c>
      <c r="C22" s="186" t="str">
        <f ca="1">IF(LEN(A22)=0,"",INDEX('Smelter Look-up'!$C:$C,MATCH($A22,'Smelter Look-up'!$E:$E,0)))</f>
        <v>Luna Smelter, Ltd.</v>
      </c>
      <c r="D22" s="230"/>
      <c r="E22" s="182" t="str">
        <f ca="1">IF(ISERROR($V22),"",OFFSET('Smelter Look-up'!$D$4,$V22-4,0)&amp;"")</f>
        <v>RWANDA</v>
      </c>
      <c r="F22" s="182" t="str">
        <f ca="1">IF(ISERROR($V22),"",OFFSET('Smelter Look-up'!$E$4,$V22-4,0))</f>
        <v>CID003387</v>
      </c>
      <c r="G22" s="182" t="str">
        <f ca="1">IF(C22=$X$4,IF(ISERROR($V22),"Enter smelter details","RMI"),IF(ISERROR($V22),"",OFFSET('Smelter Look-up'!$F$4,$V22-4,0)))</f>
        <v>RMI</v>
      </c>
      <c r="H22" s="183">
        <f ca="1">IF(ISERROR($V22),"",OFFSET('Smelter Look-up'!$G$4,$V22-4,0))</f>
        <v>0</v>
      </c>
      <c r="I22" s="184" t="str">
        <f ca="1">IF(ISERROR($V22),"",OFFSET('Smelter Look-up'!$H$4,$V22-4,0))</f>
        <v>Kigali</v>
      </c>
      <c r="J22" s="184" t="str">
        <f ca="1">IF(ISERROR($V22),"",OFFSET('Smelter Look-up'!$I$4,$V22-4,0))</f>
        <v>City of Kigali</v>
      </c>
      <c r="K22" s="224"/>
      <c r="L22" s="224"/>
      <c r="M22" s="224"/>
      <c r="N22" s="224"/>
      <c r="O22" s="224"/>
      <c r="P22" s="185"/>
      <c r="Q22" s="225"/>
      <c r="R22" s="182" t="str">
        <f ca="1">IF(ISERROR($V22),"",OFFSET('Smelter Look-up'!$C$4,$V22-4,0)&amp;"")</f>
        <v>Luna Smelter, Ltd.</v>
      </c>
      <c r="S22" s="181" t="str">
        <f t="shared" ca="1" si="2"/>
        <v>RW</v>
      </c>
      <c r="T22" s="181" t="str">
        <f ca="1">IF(B22="","",IF(ISERROR(MATCH($J22,SorP!$B$1:$B$6226,0)),"",INDIRECT("'SorP'!$A$"&amp;MATCH($S22&amp;$J22,SorP!C:C,0))))</f>
        <v>RW-01</v>
      </c>
      <c r="U22" s="201"/>
      <c r="V22" s="226">
        <f ca="1">IF(C22="",NA(),IF(OR(C22="Smelter not listed",C22="Smelter not yet identified"),MATCH($B22&amp;$D22,'Smelter Look-up'!$J:$J,0),MATCH($B22&amp;$C22,'Smelter Look-up'!$J:$J,0)))</f>
        <v>471</v>
      </c>
      <c r="X22" s="227">
        <f t="shared" ca="1" si="3"/>
        <v>0</v>
      </c>
      <c r="AB22" s="228" t="str">
        <f t="shared" ca="1" si="4"/>
        <v>TinLuna Smelter, Ltd.</v>
      </c>
    </row>
    <row r="23" spans="1:28" s="227" customFormat="1" ht="20.25">
      <c r="A23" s="400" t="s">
        <v>774</v>
      </c>
      <c r="B23" s="182" t="str">
        <f ca="1">IF(LEN(A23)=0,"",INDEX('Smelter Look-up'!$A:$A,MATCH($A23,'Smelter Look-up'!$E:$E,0)))</f>
        <v>Tin</v>
      </c>
      <c r="C23" s="186" t="str">
        <f ca="1">IF(LEN(A23)=0,"",INDEX('Smelter Look-up'!$C:$C,MATCH($A23,'Smelter Look-up'!$E:$E,0)))</f>
        <v>PT Mitra Stania Prima</v>
      </c>
      <c r="D23" s="230"/>
      <c r="E23" s="182" t="str">
        <f ca="1">IF(ISERROR($V23),"",OFFSET('Smelter Look-up'!$D$4,$V23-4,0)&amp;"")</f>
        <v>INDONESIA</v>
      </c>
      <c r="F23" s="182" t="str">
        <f ca="1">IF(ISERROR($V23),"",OFFSET('Smelter Look-up'!$E$4,$V23-4,0))</f>
        <v>CID001453</v>
      </c>
      <c r="G23" s="182" t="str">
        <f ca="1">IF(C23=$X$4,IF(ISERROR($V23),"Enter smelter details","RMI"),IF(ISERROR($V23),"",OFFSET('Smelter Look-up'!$F$4,$V23-4,0)))</f>
        <v>RMI</v>
      </c>
      <c r="H23" s="183">
        <f ca="1">IF(ISERROR($V23),"",OFFSET('Smelter Look-up'!$G$4,$V23-4,0))</f>
        <v>0</v>
      </c>
      <c r="I23" s="184" t="str">
        <f ca="1">IF(ISERROR($V23),"",OFFSET('Smelter Look-up'!$H$4,$V23-4,0))</f>
        <v>Sungailiat</v>
      </c>
      <c r="J23" s="184" t="str">
        <f ca="1">IF(ISERROR($V23),"",OFFSET('Smelter Look-up'!$I$4,$V23-4,0))</f>
        <v>Kepulauan Bangka Belitung</v>
      </c>
      <c r="K23" s="224"/>
      <c r="L23" s="224"/>
      <c r="M23" s="224"/>
      <c r="N23" s="224"/>
      <c r="O23" s="224"/>
      <c r="P23" s="185"/>
      <c r="Q23" s="225"/>
      <c r="R23" s="182" t="str">
        <f ca="1">IF(ISERROR($V23),"",OFFSET('Smelter Look-up'!$C$4,$V23-4,0)&amp;"")</f>
        <v>PT Mitra Stania Prima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518</v>
      </c>
      <c r="X23" s="227">
        <f t="shared" ca="1" si="3"/>
        <v>0</v>
      </c>
      <c r="AB23" s="228" t="str">
        <f t="shared" ca="1" si="4"/>
        <v>TinPT Mitra Stania Prima</v>
      </c>
    </row>
    <row r="24" spans="1:28" s="227" customFormat="1" ht="20.25">
      <c r="A24" s="400" t="s">
        <v>15457</v>
      </c>
      <c r="B24" s="182" t="str">
        <f ca="1">IF(LEN(A24)=0,"",INDEX('Smelter Look-up'!$A:$A,MATCH($A24,'Smelter Look-up'!$E:$E,0)))</f>
        <v>Tin</v>
      </c>
      <c r="C24" s="186" t="str">
        <f ca="1">IF(LEN(A24)=0,"",INDEX('Smelter Look-up'!$C:$C,MATCH($A24,'Smelter Look-up'!$E:$E,0)))</f>
        <v>PT Sariwiguna Binasentosa</v>
      </c>
      <c r="D24" s="230"/>
      <c r="E24" s="182" t="str">
        <f ca="1">IF(ISERROR($V24),"",OFFSET('Smelter Look-up'!$D$4,$V24-4,0)&amp;"")</f>
        <v>INDONESIA</v>
      </c>
      <c r="F24" s="182" t="str">
        <f ca="1">IF(ISERROR($V24),"",OFFSET('Smelter Look-up'!$E$4,$V24-4,0))</f>
        <v>CID001463</v>
      </c>
      <c r="G24" s="182" t="str">
        <f ca="1">IF(C24=$X$4,IF(ISERROR($V24),"Enter smelter details","RMI"),IF(ISERROR($V24),"",OFFSET('Smelter Look-up'!$F$4,$V24-4,0)))</f>
        <v>RMI</v>
      </c>
      <c r="H24" s="183">
        <f ca="1">IF(ISERROR($V24),"",OFFSET('Smelter Look-up'!$G$4,$V24-4,0))</f>
        <v>0</v>
      </c>
      <c r="I24" s="184" t="str">
        <f ca="1">IF(ISERROR($V24),"",OFFSET('Smelter Look-up'!$H$4,$V24-4,0))</f>
        <v>Pangkal Pinang</v>
      </c>
      <c r="J24" s="184" t="str">
        <f ca="1">IF(ISERROR($V24),"",OFFSET('Smelter Look-up'!$I$4,$V24-4,0))</f>
        <v>Kepulauan Bangka Belitung</v>
      </c>
      <c r="K24" s="224"/>
      <c r="L24" s="224"/>
      <c r="M24" s="224"/>
      <c r="N24" s="224"/>
      <c r="O24" s="224"/>
      <c r="P24" s="185"/>
      <c r="Q24" s="225"/>
      <c r="R24" s="182" t="str">
        <f ca="1">IF(ISERROR($V24),"",OFFSET('Smelter Look-up'!$C$4,$V24-4,0)&amp;"")</f>
        <v>PT Sariwiguna Binasentosa</v>
      </c>
      <c r="S24" s="181" t="str">
        <f t="shared" ca="1" si="2"/>
        <v>ID</v>
      </c>
      <c r="T24" s="181" t="str">
        <f ca="1">IF(B24="","",IF(ISERROR(MATCH($J24,SorP!$B$1:$B$6226,0)),"",INDIRECT("'SorP'!$A$"&amp;MATCH($S24&amp;$J24,SorP!C:C,0))))</f>
        <v>ID-BB</v>
      </c>
      <c r="U24" s="201"/>
      <c r="V24" s="226">
        <f ca="1">IF(C24="",NA(),IF(OR(C24="Smelter not listed",C24="Smelter not yet identified"),MATCH($B24&amp;$D24,'Smelter Look-up'!$J:$J,0),MATCH($B24&amp;$C24,'Smelter Look-up'!$J:$J,0)))</f>
        <v>527</v>
      </c>
      <c r="X24" s="227">
        <f t="shared" ca="1" si="3"/>
        <v>0</v>
      </c>
      <c r="AB24" s="228" t="str">
        <f t="shared" ca="1" si="4"/>
        <v>TinPT Sariwiguna Binasentosa</v>
      </c>
    </row>
    <row r="25" spans="1:28" s="227" customFormat="1" ht="20.25">
      <c r="A25" s="400" t="s">
        <v>15458</v>
      </c>
      <c r="B25" s="182" t="str">
        <f ca="1">IF(LEN(A25)=0,"",INDEX('Smelter Look-up'!$A:$A,MATCH($A25,'Smelter Look-up'!$E:$E,0)))</f>
        <v>Tin</v>
      </c>
      <c r="C25" s="186" t="str">
        <f ca="1">IF(LEN(A25)=0,"",INDEX('Smelter Look-up'!$C:$C,MATCH($A25,'Smelter Look-up'!$E:$E,0)))</f>
        <v>PT Sukses Inti Makmur (SIM)</v>
      </c>
      <c r="D25" s="230"/>
      <c r="E25" s="182" t="str">
        <f ca="1">IF(ISERROR($V25),"",OFFSET('Smelter Look-up'!$D$4,$V25-4,0)&amp;"")</f>
        <v>INDONESIA</v>
      </c>
      <c r="F25" s="182" t="str">
        <f ca="1">IF(ISERROR($V25),"",OFFSET('Smelter Look-up'!$E$4,$V25-4,0))</f>
        <v>CID002816</v>
      </c>
      <c r="G25" s="182" t="str">
        <f ca="1">IF(C25=$X$4,IF(ISERROR($V25),"Enter smelter details","RMI"),IF(ISERROR($V25),"",OFFSET('Smelter Look-up'!$F$4,$V25-4,0)))</f>
        <v>RMI</v>
      </c>
      <c r="H25" s="183">
        <f ca="1">IF(ISERROR($V25),"",OFFSET('Smelter Look-up'!$G$4,$V25-4,0))</f>
        <v>0</v>
      </c>
      <c r="I25" s="184" t="str">
        <f ca="1">IF(ISERROR($V25),"",OFFSET('Smelter Look-up'!$H$4,$V25-4,0))</f>
        <v>Belitung</v>
      </c>
      <c r="J25" s="184" t="str">
        <f ca="1">IF(ISERROR($V25),"",OFFSET('Smelter Look-up'!$I$4,$V25-4,0))</f>
        <v>Kepulauan Bangka Belitung</v>
      </c>
      <c r="K25" s="224"/>
      <c r="L25" s="224"/>
      <c r="M25" s="224"/>
      <c r="N25" s="224"/>
      <c r="O25" s="224"/>
      <c r="P25" s="185"/>
      <c r="Q25" s="225"/>
      <c r="R25" s="182" t="str">
        <f ca="1">IF(ISERROR($V25),"",OFFSET('Smelter Look-up'!$C$4,$V25-4,0)&amp;"")</f>
        <v>PT Sukses Inti Makmur (SIM)</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529</v>
      </c>
      <c r="X25" s="227">
        <f t="shared" ca="1" si="3"/>
        <v>0</v>
      </c>
      <c r="AB25" s="228" t="str">
        <f t="shared" ca="1" si="4"/>
        <v>TinPT Sukses Inti Makmur (SIM)</v>
      </c>
    </row>
    <row r="26" spans="1:28" s="227" customFormat="1" ht="20.25">
      <c r="A26" s="400" t="s">
        <v>136</v>
      </c>
      <c r="B26" s="182" t="str">
        <f ca="1">IF(LEN(A26)=0,"",INDEX('Smelter Look-up'!$A:$A,MATCH($A26,'Smelter Look-up'!$E:$E,0)))</f>
        <v>Tin</v>
      </c>
      <c r="C26" s="186" t="str">
        <f ca="1">IF(LEN(A26)=0,"",INDEX('Smelter Look-up'!$C:$C,MATCH($A26,'Smelter Look-up'!$E:$E,0)))</f>
        <v>Magnu's Minerais Metais e Ligas Ltda.</v>
      </c>
      <c r="D26" s="230"/>
      <c r="E26" s="182" t="str">
        <f ca="1">IF(ISERROR($V26),"",OFFSET('Smelter Look-up'!$D$4,$V26-4,0)&amp;"")</f>
        <v>BRAZIL</v>
      </c>
      <c r="F26" s="182" t="str">
        <f ca="1">IF(ISERROR($V26),"",OFFSET('Smelter Look-up'!$E$4,$V26-4,0))</f>
        <v>CID002468</v>
      </c>
      <c r="G26" s="182" t="str">
        <f ca="1">IF(C26=$X$4,IF(ISERROR($V26),"Enter smelter details","RMI"),IF(ISERROR($V26),"",OFFSET('Smelter Look-up'!$F$4,$V26-4,0)))</f>
        <v>RMI</v>
      </c>
      <c r="H26" s="183">
        <f ca="1">IF(ISERROR($V26),"",OFFSET('Smelter Look-up'!$G$4,$V26-4,0))</f>
        <v>0</v>
      </c>
      <c r="I26" s="184" t="str">
        <f ca="1">IF(ISERROR($V26),"",OFFSET('Smelter Look-up'!$H$4,$V26-4,0))</f>
        <v>São João del Rei</v>
      </c>
      <c r="J26" s="184" t="str">
        <f ca="1">IF(ISERROR($V26),"",OFFSET('Smelter Look-up'!$I$4,$V26-4,0))</f>
        <v>Minas Gerais</v>
      </c>
      <c r="K26" s="224"/>
      <c r="L26" s="224"/>
      <c r="M26" s="224"/>
      <c r="N26" s="224"/>
      <c r="O26" s="224"/>
      <c r="P26" s="185"/>
      <c r="Q26" s="225"/>
      <c r="R26" s="182" t="str">
        <f ca="1">IF(ISERROR($V26),"",OFFSET('Smelter Look-up'!$C$4,$V26-4,0)&amp;"")</f>
        <v>Magnu's Minerais Metais e Ligas Ltda.</v>
      </c>
      <c r="S26" s="181" t="str">
        <f t="shared" ca="1" si="2"/>
        <v>BR</v>
      </c>
      <c r="T26" s="181" t="str">
        <f ca="1">IF(B26="","",IF(ISERROR(MATCH($J26,SorP!$B$1:$B$6226,0)),"",INDIRECT("'SorP'!$A$"&amp;MATCH($S26&amp;$J26,SorP!C:C,0))))</f>
        <v>BR-MG</v>
      </c>
      <c r="U26" s="201"/>
      <c r="V26" s="226">
        <f ca="1">IF(C26="",NA(),IF(OR(C26="Smelter not listed",C26="Smelter not yet identified"),MATCH($B26&amp;$D26,'Smelter Look-up'!$J:$J,0),MATCH($B26&amp;$C26,'Smelter Look-up'!$J:$J,0)))</f>
        <v>473</v>
      </c>
      <c r="X26" s="227">
        <f t="shared" ca="1" si="3"/>
        <v>0</v>
      </c>
      <c r="AB26" s="228" t="str">
        <f t="shared" ca="1" si="4"/>
        <v>TinMagnu's Minerais Metais e Ligas Ltda.</v>
      </c>
    </row>
    <row r="27" spans="1:28" s="227" customFormat="1" ht="20.25">
      <c r="A27" s="400" t="s">
        <v>15080</v>
      </c>
      <c r="B27" s="182" t="str">
        <f ca="1">IF(LEN(A27)=0,"",INDEX('Smelter Look-up'!$A:$A,MATCH($A27,'Smelter Look-up'!$E:$E,0)))</f>
        <v>Tin</v>
      </c>
      <c r="C27" s="186" t="str">
        <f ca="1">IF(LEN(A27)=0,"",INDEX('Smelter Look-up'!$C:$C,MATCH($A27,'Smelter Look-up'!$E:$E,0)))</f>
        <v>PT Prima Timah Utama</v>
      </c>
      <c r="D27" s="230"/>
      <c r="E27" s="182" t="str">
        <f ca="1">IF(ISERROR($V27),"",OFFSET('Smelter Look-up'!$D$4,$V27-4,0)&amp;"")</f>
        <v>INDONESIA</v>
      </c>
      <c r="F27" s="182" t="str">
        <f ca="1">IF(ISERROR($V27),"",OFFSET('Smelter Look-up'!$E$4,$V27-4,0))</f>
        <v>CID001458</v>
      </c>
      <c r="G27" s="182" t="str">
        <f ca="1">IF(C27=$X$4,IF(ISERROR($V27),"Enter smelter details","RMI"),IF(ISERROR($V27),"",OFFSET('Smelter Look-up'!$F$4,$V27-4,0)))</f>
        <v>RMI</v>
      </c>
      <c r="H27" s="183">
        <f ca="1">IF(ISERROR($V27),"",OFFSET('Smelter Look-up'!$G$4,$V27-4,0))</f>
        <v>0</v>
      </c>
      <c r="I27" s="184" t="str">
        <f ca="1">IF(ISERROR($V27),"",OFFSET('Smelter Look-up'!$H$4,$V27-4,0))</f>
        <v>Pangkal Pinang</v>
      </c>
      <c r="J27" s="184" t="str">
        <f ca="1">IF(ISERROR($V27),"",OFFSET('Smelter Look-up'!$I$4,$V27-4,0))</f>
        <v>Kepulauan Bangka Belitung</v>
      </c>
      <c r="K27" s="224"/>
      <c r="L27" s="224"/>
      <c r="M27" s="224"/>
      <c r="N27" s="224"/>
      <c r="O27" s="224"/>
      <c r="P27" s="185"/>
      <c r="Q27" s="225"/>
      <c r="R27" s="182" t="str">
        <f ca="1">IF(ISERROR($V27),"",OFFSET('Smelter Look-up'!$C$4,$V27-4,0)&amp;"")</f>
        <v>PT Prima Timah Utama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522</v>
      </c>
      <c r="X27" s="227">
        <f t="shared" ca="1" si="3"/>
        <v>0</v>
      </c>
      <c r="AB27" s="228" t="str">
        <f t="shared" ca="1" si="4"/>
        <v>TinPT Prima Timah Utama</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B24DDE9-E2B8-46D1-8AB1-3DEA97AC22BB}"/>
    </customSheetView>
  </customSheetViews>
  <mergeCells count="3">
    <mergeCell ref="J2:O2"/>
    <mergeCell ref="B3:E3"/>
    <mergeCell ref="G3:I3"/>
  </mergeCells>
  <phoneticPr fontId="100" type="noConversion"/>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ICEL S.r.l.</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All capacitors and components produced by ICEL S.r.l.</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Walter Mariani; Andrea Favareto</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walter.mariani@icel.it; andrea.favareto@icel.it</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+390331500510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Quality Engineering Manager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walter.mariani@icel.it</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www.icel.it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List'!AB$5:AB$2503,"Gold?*")&gt;0),0,1)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D14" sqref="D1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15864</v>
      </c>
      <c r="C6" s="98" t="s">
        <v>15865</v>
      </c>
      <c r="D6" s="98" t="s">
        <v>15863</v>
      </c>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schemas.microsoft.com/office/infopath/2007/PartnerControls"/>
    <ds:schemaRef ds:uri="6e8a5f3d-031c-4996-804e-0e28298fe1e2"/>
    <ds:schemaRef ds:uri="http://schemas.openxmlformats.org/package/2006/metadata/core-properties"/>
    <ds:schemaRef ds:uri="http://schemas.microsoft.com/office/2006/documentManagement/types"/>
    <ds:schemaRef ds:uri="a54701f6-876b-4337-a24e-543e1bd311e6"/>
    <ds:schemaRef ds:uri="http://www.w3.org/XML/1998/namespace"/>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Andrea Favareto</cp:lastModifiedBy>
  <cp:lastPrinted>2015-04-21T20:47:43Z</cp:lastPrinted>
  <dcterms:created xsi:type="dcterms:W3CDTF">2010-06-21T21:00:23Z</dcterms:created>
  <dcterms:modified xsi:type="dcterms:W3CDTF">2024-05-07T13:10:56Z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